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0695" tabRatio="753" activeTab="2"/>
  </bookViews>
  <sheets>
    <sheet name="П № 5" sheetId="1" r:id="rId1"/>
    <sheet name="П № 7" sheetId="2" r:id="rId2"/>
    <sheet name="П №  9" sheetId="3" r:id="rId3"/>
  </sheets>
  <definedNames>
    <definedName name="_xlnm._FilterDatabase" localSheetId="2" hidden="1">'П №  9'!$A$8:$K$543</definedName>
    <definedName name="_xlnm._FilterDatabase" localSheetId="0" hidden="1">'П № 5'!$A$8:$R$382</definedName>
    <definedName name="_xlnm._FilterDatabase" localSheetId="1" hidden="1">'П № 7'!$A$8:$J$511</definedName>
    <definedName name="_xlnm.Print_Titles" localSheetId="2">'П №  9'!$8:$8</definedName>
    <definedName name="_xlnm.Print_Titles" localSheetId="0">'П № 5'!$8:$8</definedName>
    <definedName name="_xlnm.Print_Titles" localSheetId="1">'П № 7'!$8:$8</definedName>
    <definedName name="_xlnm.Print_Area" localSheetId="2">'П №  9'!$A$1:$T$545</definedName>
    <definedName name="_xlnm.Print_Area" localSheetId="0">'П № 5'!$A$1:$Q$382</definedName>
    <definedName name="_xlnm.Print_Area" localSheetId="1">'П № 7'!$A$1:$S$513</definedName>
  </definedNames>
  <calcPr fullCalcOnLoad="1"/>
</workbook>
</file>

<file path=xl/sharedStrings.xml><?xml version="1.0" encoding="utf-8"?>
<sst xmlns="http://schemas.openxmlformats.org/spreadsheetml/2006/main" count="2879" uniqueCount="566">
  <si>
    <t>1102</t>
  </si>
  <si>
    <t>МАССОВЫЙ СПОРТ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</si>
  <si>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</si>
  <si>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</si>
  <si>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</si>
  <si>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</si>
  <si>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</si>
  <si>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</si>
  <si>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700</t>
  </si>
  <si>
    <t>500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</si>
  <si>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</si>
  <si>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</si>
  <si>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</si>
  <si>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0409</t>
  </si>
  <si>
    <t>Дорожное хозяйство (дорожные фонды)</t>
  </si>
  <si>
    <t>Приложение 1</t>
  </si>
  <si>
    <t>к решению  Думы Краснокамского городского поселения</t>
  </si>
  <si>
    <t>601</t>
  </si>
  <si>
    <t>602</t>
  </si>
  <si>
    <t>603</t>
  </si>
  <si>
    <t>604</t>
  </si>
  <si>
    <t>605</t>
  </si>
  <si>
    <t>Вед</t>
  </si>
  <si>
    <t>Рз, ПР</t>
  </si>
  <si>
    <t>ЦСР</t>
  </si>
  <si>
    <t>ВР</t>
  </si>
  <si>
    <t>Наименование расходов</t>
  </si>
  <si>
    <t>ДУМА КРАСНОКАМСКОГО ГОРОДСКОГО ПОСЕЛЕНИЯ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</si>
  <si>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</si>
  <si>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</si>
  <si>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</si>
  <si>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</si>
  <si>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КРАСНОКАМСКОГО ГОРОДСКОГО ПОСЕЛЕНИЯ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</si>
  <si>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</si>
  <si>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</si>
  <si>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0104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</si>
  <si>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</si>
  <si>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</si>
  <si>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0111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</si>
  <si>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</si>
  <si>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</si>
  <si>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</si>
  <si>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</si>
  <si>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</si>
  <si>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</si>
  <si>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</si>
  <si>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</si>
  <si>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</si>
  <si>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</si>
  <si>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</si>
  <si>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>1000</t>
  </si>
  <si>
    <t>СОЦИАЛЬНАЯ ПОЛИТИКА</t>
  </si>
  <si>
    <t>1003</t>
  </si>
  <si>
    <t>Социальное обеспечение населения</t>
  </si>
  <si>
    <t>ФИНАНСОВОЕ УПРАВЛЕНИЕ  АДМИНИСТРАЦИИ КРАСНОКАМСКОГО ГОРОДСКОГО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</si>
  <si>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</si>
  <si>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</si>
  <si>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</si>
  <si>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0500</t>
  </si>
  <si>
    <t>ЖИЛИЩНО-КОММУНАЛЬНОЕ ХОЗЯЙСТВО</t>
  </si>
  <si>
    <t>0502</t>
  </si>
  <si>
    <t>Коммунальное хозяйство</t>
  </si>
  <si>
    <t>1100</t>
  </si>
  <si>
    <t>КОМИТЕТ ИМУЩЕСТВЕННЫХ ОТНОШЕНИЙ И ЗЕМЛЕПОЛЬЗОВАНИЯ АДМИНИСТРАЦИИ КРАСНОКАМСКОГО ГОРОДСКОГО ПОСЕЛЕНИЯ</t>
  </si>
  <si>
    <t>0501</t>
  </si>
  <si>
    <t>Жилищное хозяйство</t>
  </si>
  <si>
    <t>УПРАВЛЕНИЕ  ПО  МОЛОДЕЖНОЙ ПОЛИТИКЕ, КУЛЬТУРЕ И СПОРТУ  АДМИНИСТРАЦИИ КРАСНОКАМСКОГО ГОРОДСКОГО ПОСЕЛЕНИЯ</t>
  </si>
  <si>
    <t>0700</t>
  </si>
  <si>
    <t>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</si>
  <si>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</si>
  <si>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</si>
  <si>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</si>
  <si>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</si>
  <si>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</si>
  <si>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</si>
  <si>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</si>
  <si>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</si>
  <si>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</si>
  <si>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</si>
  <si>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</si>
  <si>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ВСЕГО РАСХОДОВ:</t>
  </si>
  <si>
    <t>1300</t>
  </si>
  <si>
    <t>ОБСЛУЖИВАНИЕ ГОСУДАРСТВЕННОГО И МУНИЦИПАЛЬНОГО ДОЛГА</t>
  </si>
  <si>
    <t>1301</t>
  </si>
  <si>
    <t>0113</t>
  </si>
  <si>
    <t>КУЛЬТУРА, КИНЕМАТОГРАФИЯ</t>
  </si>
  <si>
    <t>ФИЗИЧЕСКАЯ КУЛЬТУРА И СПОРТ</t>
  </si>
  <si>
    <t>1101</t>
  </si>
  <si>
    <t>Физическая культура</t>
  </si>
  <si>
    <t>Приложение 2</t>
  </si>
  <si>
    <t>0407</t>
  </si>
  <si>
    <t>Лесное хозяйство</t>
  </si>
  <si>
    <t>Депутаты (члены) Думы Краснокамского городского поселения</t>
  </si>
  <si>
    <t>Глава Краснокамского городского поселения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</si>
  <si>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</si>
  <si>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</si>
  <si>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Прочие мероприятия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</si>
  <si>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</si>
  <si>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</si>
  <si>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Капитальные вложения в объекты недвижимого имущества государственной (муниципальной) собственности</t>
  </si>
  <si>
    <t>Единовременное денежное вознаграждение лицам, награжденным Почетной грамотой администрации Краснокамского городского поселения</t>
  </si>
  <si>
    <t>Председатель Думы Краснокамского городского поселения</t>
  </si>
  <si>
    <t>Приложение 3</t>
  </si>
  <si>
    <t>Приложение 5</t>
  </si>
  <si>
    <t>Исполнение решений судов, вступивших в законную силу, и оплата государственной пошлины</t>
  </si>
  <si>
    <t>Денежные выплаты Почетным гражданам города Краснокамска</t>
  </si>
  <si>
    <t>2017 год</t>
  </si>
  <si>
    <t>2017 год с учетом изменений</t>
  </si>
  <si>
    <t>Муниципальная программа "Управление муниципальными финансами Краснокамского городского поселения"</t>
  </si>
  <si>
    <t>Подпрограмма "Организация и совершенствование бюджетного процесса"</t>
  </si>
  <si>
    <t>Муниципальная программа "Управление муниципальной собственностью и земельными ресурсами, градостроительная деятельность на территории Краснокамского городского поселения"</t>
  </si>
  <si>
    <t>Подпрограмма "Управление муниципальной собственностью и земельными ресурсами"</t>
  </si>
  <si>
    <t>Подпрограмма "Градостроительная деятельность"</t>
  </si>
  <si>
    <t>Муниципальная программа "Формирование доступной среды жизнедеятельности инвалидов и других маломобильных групп населения на территории Краснокамского городского поселения"</t>
  </si>
  <si>
    <t>Муниципальная программа "Обеспечение безопасности населения и территории Краснокамского городского поселения"</t>
  </si>
  <si>
    <t>Подпрограмма "Обеспечение пожарной безопасности на территории г.Краснокамска"</t>
  </si>
  <si>
    <t>Подпрограмма  "Обеспечение пожарной безопасности на территории городских лесов"</t>
  </si>
  <si>
    <t>Подпрограмма "Капитальный ремонт берегоукрепления Воткинского водохранилища в границах территории Краснокамского городского поселения"</t>
  </si>
  <si>
    <t>Муниципальная программа "Обеспечение взаимодействия гражданского общества и органов местного самоуправления Краснокамского городского поселения"</t>
  </si>
  <si>
    <t>Подпрограмма "Реализация национальной политики в Краснокамском городском поселении"</t>
  </si>
  <si>
    <t>Подпрограмма "Создание и развитие единого информационного пространства институтов гражданского общества и органов местного самоуправления"</t>
  </si>
  <si>
    <t>Муниципальная программа "Содействие развитию и поддержка общественных объединений, некоммерческих организаций в Краснокамском городском поселении"</t>
  </si>
  <si>
    <t>Основное мероприятие "Мероприятия с участием городских общественных организаций"</t>
  </si>
  <si>
    <t>Муниципальная программа "Создание благоприятных условий для реализации мероприятий в сферах молодёжной политики, культуры и спорта на территории Краснокамского городского поселения"</t>
  </si>
  <si>
    <t>Подпрограмма "Культура г.Краснокамска"</t>
  </si>
  <si>
    <t>Подпрограмма "Развитие физической культуры, спорта и туризма"</t>
  </si>
  <si>
    <t>Подпрограмма "Молодежь г. Краснокамска: ресурсы и развитие"</t>
  </si>
  <si>
    <t>Подпрограмма "Приведение в нормативное состояние объектов социальной сферы"</t>
  </si>
  <si>
    <t>Подпрограмма "Организация деятельности по созданию благоприятных условий для реализации мероприятий в сферах молодёжной политики, культуры и спорта"</t>
  </si>
  <si>
    <t>Муниципальная программа "Обеспечение жильём  жителей Краснокамского городского поселения"</t>
  </si>
  <si>
    <t>Подпрограмма "Содействие в обеспечении жильём молодых семей"</t>
  </si>
  <si>
    <t>Подпрограмма "Переселение граждан из ветхого аварийного жилищного фонда"</t>
  </si>
  <si>
    <t>Подпрограмма "Организация работы по переселению граждан их ветхого аварийного жилищного фонда и предоставление услуг в сфере жилищных отношений"</t>
  </si>
  <si>
    <t>Муниципальная программа "Строительство, развитие, капитальный ремонт жилищного фонда и объектов коммунальной инфраструктуры и дорожного хозяйства"</t>
  </si>
  <si>
    <t>Подпрограмма "Газификация Краснокамского городского поселения"</t>
  </si>
  <si>
    <t>Подпрограмма "Строительство, реконструкция, капитальный ремонт объектов коммунальной инфраструктуры и дорожного хозяйства"</t>
  </si>
  <si>
    <t>Подпрограмма "Капитальный ремонт и модернизация жилищного фонда"</t>
  </si>
  <si>
    <t xml:space="preserve">Муниципальная программа "Содержание объектов коммунальной и инженерной инфраструктуры, объектов внешнего благоустройства и озеленения" </t>
  </si>
  <si>
    <t>Подпрограмма "Содержание и ремонт объектов дорожного хозяйства"</t>
  </si>
  <si>
    <t>Подпрограмма "Содержание и ремонт объектов жилищного хозяйства"</t>
  </si>
  <si>
    <t>Подпрограмма "Содержание и ремонт объектов внешнего благоустройства и озеленения"</t>
  </si>
  <si>
    <t>Подпрограмма "Организация содержания объектов коммунальной и инженерной инфраструктуры, объектов внешнего благоустройства и озеленения"</t>
  </si>
  <si>
    <t>Осуществление внешнего муниципального финансового контроля Краснокамского городского поселения</t>
  </si>
  <si>
    <t>Мероприятия, осуществляемые органами местного самоуправления</t>
  </si>
  <si>
    <t>Поддержка коммунального хозяйства</t>
  </si>
  <si>
    <t xml:space="preserve">Предоставления субсидий организациям, оказывающим бытовые услуги по помывке в общем отделении бань льготных категорий граждан </t>
  </si>
  <si>
    <t>Социальная поддержка</t>
  </si>
  <si>
    <t>Пенсии за выслугу лет лицам, замещавшим муниципальные должности Краснокамского городского поселения, муниципальным служащим Краснокамского городского поселения</t>
  </si>
  <si>
    <t>Условно-утвержаемые ассигнования</t>
  </si>
  <si>
    <t>Пенсионное обеспечение</t>
  </si>
  <si>
    <t>1001</t>
  </si>
  <si>
    <t>0406</t>
  </si>
  <si>
    <t>Водные ресурсы</t>
  </si>
  <si>
    <t>Мероприятия по планировке территории Краснокамского городского поселения</t>
  </si>
  <si>
    <t>Обеспечение выполнения функций органами местного самоуправления</t>
  </si>
  <si>
    <t>900</t>
  </si>
  <si>
    <t>Подпрограмма "Содержание и ремонт объектов коммунального хозяйства"</t>
  </si>
  <si>
    <t>9999</t>
  </si>
  <si>
    <t>Проектирование и строительство объекта "Закольцовка системы газоснабжения ул. Калинина г.Краснокамска"</t>
  </si>
  <si>
    <t>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</si>
  <si>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 xml:space="preserve">2017 год </t>
  </si>
  <si>
    <t>0110000000</t>
  </si>
  <si>
    <t>0110100000</t>
  </si>
  <si>
    <t>0110100010</t>
  </si>
  <si>
    <t>0100000000</t>
  </si>
  <si>
    <t xml:space="preserve">Основное мероприятие "Обеспечение выполнения функций органами местного самоуправления" </t>
  </si>
  <si>
    <t>Расходы на обеспечение функций органов местного самоуправления</t>
  </si>
  <si>
    <t>0110300000</t>
  </si>
  <si>
    <t>0110320110</t>
  </si>
  <si>
    <t>Основное мероприятие "Резервный фонд администрации Краснокамского городского поселения"</t>
  </si>
  <si>
    <t>Финансовое обеспечение непредвиденных и чрезвычайных  ситуаций за счёт резервного фонда администрации Краснокамского городского поселения</t>
  </si>
  <si>
    <t>0110200000</t>
  </si>
  <si>
    <t>Основное мероприятие "Обслуживание лицевых счетов органов местного самоуправления, муниципальных учреждений Краснокамского городского поселения"</t>
  </si>
  <si>
    <t>Предоставление межбюджетного трансферта из бюджета Краснокамского городского поселения бюджету Краснокамского муниципального района</t>
  </si>
  <si>
    <t>0200000000</t>
  </si>
  <si>
    <t>0210000000</t>
  </si>
  <si>
    <t>0210100000</t>
  </si>
  <si>
    <t>0210120210</t>
  </si>
  <si>
    <t>Основное мероприятие "Управление земельными ресурсами и имуществом"</t>
  </si>
  <si>
    <t>Управление земельными ресурсами и имуществом Краснокамского городского поселения</t>
  </si>
  <si>
    <t>0210200000</t>
  </si>
  <si>
    <t>0210200010</t>
  </si>
  <si>
    <t>0220000000</t>
  </si>
  <si>
    <t>0220100000</t>
  </si>
  <si>
    <t>0220120220</t>
  </si>
  <si>
    <t>Основное мероприятие "Мероприятия по планировке территория"</t>
  </si>
  <si>
    <t>0120000000</t>
  </si>
  <si>
    <t>0120100000</t>
  </si>
  <si>
    <t>0120120120</t>
  </si>
  <si>
    <t>Подпрограмма "Управление муниципальным долгом Краснокамского городского поселения"</t>
  </si>
  <si>
    <t xml:space="preserve">Основное мероприятие  "Обслуживание муниципального долга" </t>
  </si>
  <si>
    <t>Исполнение обязательств по обслуживанию муниципального долга Краснокамского ородского поселения</t>
  </si>
  <si>
    <t>0300000000</t>
  </si>
  <si>
    <t>0300100000</t>
  </si>
  <si>
    <t>03001L0270</t>
  </si>
  <si>
    <t>Основное мероприятие "Мероприятия по созданию условий инвалидам и другим маломобильным группам населения для беспрепятственного доступа к объектам социальной сферы"</t>
  </si>
  <si>
    <t>Мероприятия государственной программы Российской Федерации "Доступная среда"</t>
  </si>
  <si>
    <t>0300200000</t>
  </si>
  <si>
    <t>Основное мероприятие "Адаптация объектов дорожной инфраструктуры для инвалидов и других маломобильных групп"</t>
  </si>
  <si>
    <t>Установка устройств звукового сопровождения на светофорные объекты, расположенные на территории Краснокамского городского поселения</t>
  </si>
  <si>
    <t>0400000000</t>
  </si>
  <si>
    <t>0410000000</t>
  </si>
  <si>
    <t>0410100000</t>
  </si>
  <si>
    <t>Основное мероприятие "Мероприятия по гражданской обороне, защите населения и территории г. Краснокамска от чрезвычайных ситуаций природного и техногенного характера"</t>
  </si>
  <si>
    <t>0410120410</t>
  </si>
  <si>
    <t>Обучение и повышение уровня подготовки специалистов к действиям при возникновении чрезвычайных ситуаций</t>
  </si>
  <si>
    <t>0410120420</t>
  </si>
  <si>
    <t>Разработка, изготовление , распространение памяток, пособий по вопросам ГО и ЧС, с учётом особенностей муниципального образования</t>
  </si>
  <si>
    <t>0410200000</t>
  </si>
  <si>
    <t>0410220430</t>
  </si>
  <si>
    <t>Основное мероприятие "Мероприятия по охране общественного порядка"</t>
  </si>
  <si>
    <t>Обеспечение участия граждан в охране общественного порядка (стимулирование народных дружинников)</t>
  </si>
  <si>
    <t>0410220440</t>
  </si>
  <si>
    <t>Обслуживание комплексной системы защиты на базе технологии "Наблюдатель"</t>
  </si>
  <si>
    <t>0420000000</t>
  </si>
  <si>
    <t>0420100000</t>
  </si>
  <si>
    <t>0420120450</t>
  </si>
  <si>
    <t>Основное мероприятие "Поддержание источников противопожарного водоснабжения и средств пожаротушения в исправном состоянии"</t>
  </si>
  <si>
    <t>Первичные меры пожарной безопасности</t>
  </si>
  <si>
    <t>0420200000</t>
  </si>
  <si>
    <t>0420220450</t>
  </si>
  <si>
    <t>Основное мероприятие "Обеспечение мер пожарной безопасности на Пальтинском месторождении торфа"</t>
  </si>
  <si>
    <t>0420320450</t>
  </si>
  <si>
    <t>0420400000</t>
  </si>
  <si>
    <t>0420420450</t>
  </si>
  <si>
    <t>Основное мероприятие "Обеспечение мер пожарной безопасности на территории короотвала"</t>
  </si>
  <si>
    <t>0420300000</t>
  </si>
  <si>
    <t>0430000000</t>
  </si>
  <si>
    <t>0430100000</t>
  </si>
  <si>
    <t>0430120460</t>
  </si>
  <si>
    <t>Основное мероприятие "Лесозащита"</t>
  </si>
  <si>
    <t>Изготовление и установка предупредительных аншлагов</t>
  </si>
  <si>
    <t>0430200000</t>
  </si>
  <si>
    <t>0430220470</t>
  </si>
  <si>
    <t xml:space="preserve">Основное мероприятие "Мероприятия по ограничению распространения огня" </t>
  </si>
  <si>
    <t>Устройство минерализированных полос вдоль дорог и просек</t>
  </si>
  <si>
    <t>0440000000</t>
  </si>
  <si>
    <t>0440100000</t>
  </si>
  <si>
    <t>04401SШ080</t>
  </si>
  <si>
    <t>Основное мероприятие "Предупреждение вредного воздействия вод и обеспечение безопасности гидротехнических сооружений (ГТС) в границах г.Краснокамска"</t>
  </si>
  <si>
    <t>Мероприятия государственной программы Пермского края "Воспроизводство и использование природных ресурсов"</t>
  </si>
  <si>
    <t>0500000000</t>
  </si>
  <si>
    <t>0500100000</t>
  </si>
  <si>
    <t>0500120510</t>
  </si>
  <si>
    <t>Основное мероприятие "Ежегодные членские взносы в некоммерческие общественные организации муниципальных образований Пермского края"</t>
  </si>
  <si>
    <t>Расходы на уплату ежегодных членских взносов в некоммерческие общественные организации муниципальных образований Пермского края</t>
  </si>
  <si>
    <t>0500200000</t>
  </si>
  <si>
    <t>0500220520</t>
  </si>
  <si>
    <t>Основное мероприятие "Патриотическое воспитание, привлечение внимания краснокамцев к трудовой доблести города</t>
  </si>
  <si>
    <t>Сохранение памяти воинской и трудовой доблести краснокамцев</t>
  </si>
  <si>
    <t>0510000000</t>
  </si>
  <si>
    <t>0510100000</t>
  </si>
  <si>
    <t>0510120530</t>
  </si>
  <si>
    <t>Основное мероприятие "Содействие в проведении мероприятий и информационная поддержка деятельности национальных обществ"</t>
  </si>
  <si>
    <t>Осуществление содействия национальным и религиозным обществам</t>
  </si>
  <si>
    <t>0520000000</t>
  </si>
  <si>
    <t>0520100000</t>
  </si>
  <si>
    <t>0520120540</t>
  </si>
  <si>
    <t>Основное мероприятие "Публикация в газете материалов об исполнении огранами местного самоуправления полномочий по решению вопросов местного значения"</t>
  </si>
  <si>
    <t>Публикация нормативно-правовых и распорядительных актов органов местного самоуправления Краснокамского городского поселения, а также официальных материалов, посвященных исполнению полномочий органов местного самоуправления</t>
  </si>
  <si>
    <t>0600000000</t>
  </si>
  <si>
    <t>0600100000</t>
  </si>
  <si>
    <t>0600120610</t>
  </si>
  <si>
    <t>Основное мероприятие "Повышение квалификации и прохождение переподготовки муниципальных служащих"</t>
  </si>
  <si>
    <t>Расходы на повышение квалификации и прохождение переподготовки муниципальных служащих</t>
  </si>
  <si>
    <t>0700000000</t>
  </si>
  <si>
    <t>0700100000</t>
  </si>
  <si>
    <t>0700120710</t>
  </si>
  <si>
    <t>Основное мероприятие "Мероприятия по поддежке территориального общественного самоуправления"</t>
  </si>
  <si>
    <t>Организация и проведение конкурсов, выставок-ярмарок, акций</t>
  </si>
  <si>
    <t>0700200000</t>
  </si>
  <si>
    <t>0700220720</t>
  </si>
  <si>
    <t>Оказание поддержки социально-ориентированным некоммерческим организациям Краснокамского городского поселения</t>
  </si>
  <si>
    <t>0800000000</t>
  </si>
  <si>
    <t>0810000000</t>
  </si>
  <si>
    <t>0810100000</t>
  </si>
  <si>
    <t>0810100020</t>
  </si>
  <si>
    <t>Основное мероприятие "Развитие и сохранение культурно-досуговых учреждений Краснокамского городского поселения"</t>
  </si>
  <si>
    <t>Расходы на обеспечение деятельности (оказание услуг) муниципальных учреждений</t>
  </si>
  <si>
    <t>0810200000</t>
  </si>
  <si>
    <t>0810200020</t>
  </si>
  <si>
    <t>Основное мероприятие "Предоставление доступа к музейным коллекциям Краснокамского городского поселения"</t>
  </si>
  <si>
    <t>0810300000</t>
  </si>
  <si>
    <t>0810300020</t>
  </si>
  <si>
    <t>Основное мероприятие "Развитие библиотечного обслуживания Краснокамского городского поселения"</t>
  </si>
  <si>
    <t>0810400000</t>
  </si>
  <si>
    <t>0810400030</t>
  </si>
  <si>
    <t xml:space="preserve">Основное мероприятие "Организация и проведение общегородских мероприятий культуры" </t>
  </si>
  <si>
    <t>Расходы на проведение мероприятий</t>
  </si>
  <si>
    <t>0810500000</t>
  </si>
  <si>
    <t>0810520810</t>
  </si>
  <si>
    <t>Основное мероприятие "Охрана, сохранение и популяризация объектов культурного наследия Краснокамского городского поселения"</t>
  </si>
  <si>
    <t>Приведение в нормативное состояние объектов культурного наследия Краснокамского городского поселения"</t>
  </si>
  <si>
    <t>0820000000</t>
  </si>
  <si>
    <t>0820100000</t>
  </si>
  <si>
    <t>0820100020</t>
  </si>
  <si>
    <t>Основное мероприятие "Обеспечение жителей Краснокамского городского поселения услугами организаций физической культуры и спорта"</t>
  </si>
  <si>
    <t>0820200000</t>
  </si>
  <si>
    <t>0820200030</t>
  </si>
  <si>
    <t>0830000000</t>
  </si>
  <si>
    <t>0830100000</t>
  </si>
  <si>
    <t>0830100020</t>
  </si>
  <si>
    <t xml:space="preserve">Основное мероприятие "Организация и проведение городских спортивно-массовых мероприятий, официальных соревнований и участие в соревнованиях международного, всероссийского и краевого уровней" </t>
  </si>
  <si>
    <t xml:space="preserve">Основное мероприятие "Осуществление мероприятий по работе с детьми и молодежью в Краснокамском городском поселении" </t>
  </si>
  <si>
    <t>0830200000</t>
  </si>
  <si>
    <t>0830220820</t>
  </si>
  <si>
    <t xml:space="preserve">Основное мероприятие "Содействие занятости несовершеннолетних граждан" </t>
  </si>
  <si>
    <t>Мероприятия по организации занятости несовершеннолетних граждан</t>
  </si>
  <si>
    <t>0830300000</t>
  </si>
  <si>
    <t>0830300030</t>
  </si>
  <si>
    <t>Основное мероприятие "Реализация молодежной политики в городе"</t>
  </si>
  <si>
    <t>0840000000</t>
  </si>
  <si>
    <t>0840100000</t>
  </si>
  <si>
    <t>0840100040</t>
  </si>
  <si>
    <t>Основное мероприятие "Приведение в нормативное состояние объектов культуры"</t>
  </si>
  <si>
    <t>Развитие и укрепление материально-технической базы, приведение в нормативное состояние муниципальных учреждений Краснокамского городского поселения</t>
  </si>
  <si>
    <t>0840200000</t>
  </si>
  <si>
    <t>0840200040</t>
  </si>
  <si>
    <t>Основное мероприятие "Приведение в нормативное состояние спортивных объектов"</t>
  </si>
  <si>
    <t>0850000000</t>
  </si>
  <si>
    <t>0850100000</t>
  </si>
  <si>
    <t>0850100010</t>
  </si>
  <si>
    <t>0850200020</t>
  </si>
  <si>
    <t>0850200000</t>
  </si>
  <si>
    <t>0900000000</t>
  </si>
  <si>
    <t>0910000000</t>
  </si>
  <si>
    <t>0910100000</t>
  </si>
  <si>
    <t>0910181000</t>
  </si>
  <si>
    <t>0920000000</t>
  </si>
  <si>
    <t>0920100000</t>
  </si>
  <si>
    <t>0920109602</t>
  </si>
  <si>
    <t>Основное мероприятие "Обеспечение жильем молодых семей"</t>
  </si>
  <si>
    <t>Основное мероприятие "Обеспечение мероприятий по переселению граждан из  аварийного жилищного фонда"</t>
  </si>
  <si>
    <t xml:space="preserve">Обеспечение мероприятий по переселению граждан из  аварийного жилищного фонда, в т.ч. переселению граждан из аварийного жилищного фонда с учетом необходимости развития малоэтажного строительства </t>
  </si>
  <si>
    <t>0300220320</t>
  </si>
  <si>
    <t>0930000000</t>
  </si>
  <si>
    <t>0930100000</t>
  </si>
  <si>
    <t>0930100020</t>
  </si>
  <si>
    <t xml:space="preserve">Основное мероприятие "Обеспечение деятельности казенного учреждения" </t>
  </si>
  <si>
    <t>1000000000</t>
  </si>
  <si>
    <t>1010000000</t>
  </si>
  <si>
    <t>1010100000</t>
  </si>
  <si>
    <t>1010100050</t>
  </si>
  <si>
    <t xml:space="preserve">Основное мероприятие "Проектирование и строительство распределительного газопровода к жилым домам усадебной застройки по ул. Новой стройки от дома №29 (в границах пер. Безымянный - пер. Речной) в микрорайоне Матросова г. Краснокамска" </t>
  </si>
  <si>
    <t>Проектирование, строительство (реконструкция) объектов общественной инфраструктуры</t>
  </si>
  <si>
    <t>1010300000</t>
  </si>
  <si>
    <t>1010300050</t>
  </si>
  <si>
    <t>1010500000</t>
  </si>
  <si>
    <t>1010500050</t>
  </si>
  <si>
    <t>Основное мероприятие "Проектирование и строительство системы газоснабжения жилых домов по адресу: ул. Гагарина, 2а, 2б г.Краснокамска"</t>
  </si>
  <si>
    <t>1010600000</t>
  </si>
  <si>
    <t>1010600050</t>
  </si>
  <si>
    <t>Основное мероприятие "Проектирование и строительство распределительного газопровода в микрорайоне Ново-Матросово г.Краснокамска Пермского края"</t>
  </si>
  <si>
    <t>1020000000</t>
  </si>
  <si>
    <t>1020100000</t>
  </si>
  <si>
    <t>10201SP050</t>
  </si>
  <si>
    <t>Основное мероприятие "Реконструкция,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</si>
  <si>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1020300000</t>
  </si>
  <si>
    <t>1020300060</t>
  </si>
  <si>
    <t>Основное мероприятие "Устройство участка автомобильной дороги ул. 50 лет Октября"</t>
  </si>
  <si>
    <t xml:space="preserve">Проектирование, строительство (реконструкция), капитальный ремонт, ремонт и содержание автомобильных дорог </t>
  </si>
  <si>
    <t>1020600000</t>
  </si>
  <si>
    <t>1020600060</t>
  </si>
  <si>
    <t>Основное мероприятие "Устройство участка автомобильной дороги территории усадебной застройки в районе ул. Пушкина города Краснокамска"</t>
  </si>
  <si>
    <t>1020700000</t>
  </si>
  <si>
    <t>Основное мероприятие "Устройство участка автомобильной дороги территории усадебной застройки в районе ул. Дачная города Краснокамска"</t>
  </si>
  <si>
    <t>1020700060</t>
  </si>
  <si>
    <t>1030000000</t>
  </si>
  <si>
    <t>1030100000</t>
  </si>
  <si>
    <t>1030109601</t>
  </si>
  <si>
    <t>Основное мероприятие "Капитальный ремонт и модернизация жилищного фонда"</t>
  </si>
  <si>
    <t>Обеспечение мероприятий по капитальному ремонту жилищного фонда</t>
  </si>
  <si>
    <t>1100000000</t>
  </si>
  <si>
    <t>1110000000</t>
  </si>
  <si>
    <t>1110100000</t>
  </si>
  <si>
    <t>1110100060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</si>
  <si>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</si>
  <si>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1110200000</t>
  </si>
  <si>
    <t>1110200060</t>
  </si>
  <si>
    <t>Основное мероприятие "Ремонт автомобильных дорог общего пользования местного значения"</t>
  </si>
  <si>
    <t>1110300000</t>
  </si>
  <si>
    <t>1110300060</t>
  </si>
  <si>
    <t>Основное мероприятие "Приоритетный муниципальный проект "Первичные меры пожарной безопасности и благоустройство территории"</t>
  </si>
  <si>
    <t>1120000000</t>
  </si>
  <si>
    <t>1120100000</t>
  </si>
  <si>
    <t>1120120910</t>
  </si>
  <si>
    <t>Основное мероприятие "Содержание и ремонт объектов коммунального хозяйства"</t>
  </si>
  <si>
    <t>Мероприятия в области коммунального хозяйства</t>
  </si>
  <si>
    <t>1130000000</t>
  </si>
  <si>
    <t>1130100000</t>
  </si>
  <si>
    <t>1130120920</t>
  </si>
  <si>
    <t>Основное мероприятие "Содержание и ремонт объектов жилищного хозяйства"</t>
  </si>
  <si>
    <t>Мероприятия в области жилищного хозяйства</t>
  </si>
  <si>
    <t>1140000000</t>
  </si>
  <si>
    <t>1140100000</t>
  </si>
  <si>
    <t>1140120930</t>
  </si>
  <si>
    <t>Основное мероприятие "Уличное освещение"</t>
  </si>
  <si>
    <t>Мероприятия по благоустройству территории Краснокамского городского поселения</t>
  </si>
  <si>
    <t>1140200000</t>
  </si>
  <si>
    <t>1140220930</t>
  </si>
  <si>
    <t>Основное мероприятие "Озеленение"</t>
  </si>
  <si>
    <t>1140300000</t>
  </si>
  <si>
    <t>1140320930</t>
  </si>
  <si>
    <t>Основное мероприятие "Организация сбора и вывоза ТБО"</t>
  </si>
  <si>
    <t>1140400000</t>
  </si>
  <si>
    <t>1140420930</t>
  </si>
  <si>
    <t>Основное мероприятие "Прочее благоустройство"</t>
  </si>
  <si>
    <t>1140500000</t>
  </si>
  <si>
    <t>1140520930</t>
  </si>
  <si>
    <t xml:space="preserve">Основное мероприятие "Приоритетный муниципальный проект "Первичные меры пожарной безопасности и благоустройство территории" </t>
  </si>
  <si>
    <t>1150000000</t>
  </si>
  <si>
    <t>1150100000</t>
  </si>
  <si>
    <t>1150100020</t>
  </si>
  <si>
    <t>1160000000</t>
  </si>
  <si>
    <t>1160100000</t>
  </si>
  <si>
    <t>1160120940</t>
  </si>
  <si>
    <t>Подпрограмма "Лесное хозяйство"</t>
  </si>
  <si>
    <t xml:space="preserve">Основное мероприятие "Лесоустройство" </t>
  </si>
  <si>
    <t>Мероприятия в области лесного хозяйства</t>
  </si>
  <si>
    <t>9100000000</t>
  </si>
  <si>
    <t>9100000120</t>
  </si>
  <si>
    <t>9100000010</t>
  </si>
  <si>
    <t>9100000110</t>
  </si>
  <si>
    <t>9100000130</t>
  </si>
  <si>
    <t>9200000000</t>
  </si>
  <si>
    <t>9300000000</t>
  </si>
  <si>
    <t>9300000070</t>
  </si>
  <si>
    <t>9300000140</t>
  </si>
  <si>
    <t>9300000150</t>
  </si>
  <si>
    <t>9300010010</t>
  </si>
  <si>
    <t>9400000000</t>
  </si>
  <si>
    <t>9400000160</t>
  </si>
  <si>
    <t>9500000000</t>
  </si>
  <si>
    <t>9900099999</t>
  </si>
  <si>
    <t>9900000000</t>
  </si>
  <si>
    <t>Реализация муниципальных программ, приоритетных муниципальных проектов в рамках приоритетных региональных проектов, инвестиционых проектов Краснокамского городского поселения</t>
  </si>
  <si>
    <t>9500010020</t>
  </si>
  <si>
    <t>09201S9602</t>
  </si>
  <si>
    <t>10301S9601</t>
  </si>
  <si>
    <t>Муниципальная программа "Повышение квалификации муниципальных служащих Краснокамского городского поселения"</t>
  </si>
  <si>
    <t>Основное мероприятие "Проектирование и строительство сквозного проезда по ул. Суворова города Краснокамска"</t>
  </si>
  <si>
    <t>1020900000</t>
  </si>
  <si>
    <t>1020900060</t>
  </si>
  <si>
    <t>Муниципальная программа "Повышение квалификации муниципальных служащих  Краснокамского городского поселения"</t>
  </si>
  <si>
    <t>февраль</t>
  </si>
  <si>
    <t>910002П160</t>
  </si>
  <si>
    <t>910002Т110</t>
  </si>
  <si>
    <t>Составление протоколов об административных правонарушениях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</si>
  <si>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</si>
  <si>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0920109502</t>
  </si>
  <si>
    <t xml:space="preserve">Обеспечение мероприятий по переселению граждан из  аварийного жилищного фонда, в т.ч. переселению граждан из аварийного жилищного фонда с учетом необходимости развития малоэтажного жилищного строительства </t>
  </si>
  <si>
    <t>март</t>
  </si>
  <si>
    <t>044012Ш080</t>
  </si>
  <si>
    <t>Капитальный ремонт берегоукрепления Воткинского водохранилища в г.Краснокамске</t>
  </si>
  <si>
    <t>Основное мероприятие "Проектирование и строительство проезда по ул. Суворова города Краснокамска"</t>
  </si>
  <si>
    <t>апрель</t>
  </si>
  <si>
    <t>1020180040</t>
  </si>
  <si>
    <t>май</t>
  </si>
  <si>
    <t>июнь</t>
  </si>
  <si>
    <t>07001SР110</t>
  </si>
  <si>
    <t>Мероприятия по реализации социально значимых проектов территориального общественного самоуправления</t>
  </si>
  <si>
    <t>95000SC070</t>
  </si>
  <si>
    <t>950002C070</t>
  </si>
  <si>
    <t>Обеспечение работников учреждений бюджетной сферы Краснокамского городского поселения путевками на санаторно-курортное лечение и оздоровление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</si>
  <si>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</si>
  <si>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910002П180</t>
  </si>
  <si>
    <t>Осуществление полномочий по созданию и организации деятельности административных комиссий</t>
  </si>
  <si>
    <t>070012Р110</t>
  </si>
  <si>
    <t>102012Р050</t>
  </si>
  <si>
    <t>9300040060</t>
  </si>
  <si>
    <t>Конкурс социальных и культурных проектов Краснокамского муниципального района</t>
  </si>
  <si>
    <t>114042У140</t>
  </si>
  <si>
    <t>114042У130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</si>
  <si>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учёту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</si>
  <si>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учёту и регистрации, содержанию, лечению, кастрации (стерилизации), эвтаназии, утилизации</t>
  </si>
  <si>
    <t>август</t>
  </si>
  <si>
    <t>09101L0200</t>
  </si>
  <si>
    <t>Предоставление социальных выплат молодым семьям на приобретение (строительство) жилья</t>
  </si>
  <si>
    <t>Реализация муниципальных программ, приоритетных муниципальных проектов в рамках приоритетных региональных проектов, инвестиционых проектов муниципальных образований</t>
  </si>
  <si>
    <t>Исполнение решений (определений, постановленй) судов, вступивших в законную силу, и мировых соглашений</t>
  </si>
  <si>
    <t>сентябрь</t>
  </si>
  <si>
    <t>0220200000</t>
  </si>
  <si>
    <t>0220220230</t>
  </si>
  <si>
    <t>Основное мероприятие "Внесение изменений в генеральный план и правила землепользования и застройки Краснокамского городского поселения"</t>
  </si>
  <si>
    <t>Внесение изменений в генеральный план Краснокамского городского поселения</t>
  </si>
  <si>
    <t>Основное мероприятие "Повышение квалификации муниципальных служащих Краснокамского городского поселения"</t>
  </si>
  <si>
    <t>9200081020</t>
  </si>
  <si>
    <t>Осуществление внешнего муниципального контроля</t>
  </si>
  <si>
    <t>9600000000</t>
  </si>
  <si>
    <t>9600081060</t>
  </si>
  <si>
    <t>Создание условий для обеспечения жителей поселений услугами общественного питания, торговли и бытового обслуживания, созданию условий для развития малого и среднего предпринимательства</t>
  </si>
  <si>
    <t>Создание условий для обеспечения жителей поселения услугами общественного питания, торговли и бытового обслуживания, создание условий для развития малого и среднего предпринимательства</t>
  </si>
  <si>
    <t>0410181050</t>
  </si>
  <si>
    <t>Организация и осуществление мероприятий в области территориальной обороны, защита населения и территории поселения от чрезвычайных ситуаций природного и техногенного характера, осуществление мероприятий по обеспечению безопасности людей на водных объектах</t>
  </si>
  <si>
    <t>Подпрограмма "Профилактика правонарушений и преступлений на территории г. Краснокамска"</t>
  </si>
  <si>
    <t>0450000000</t>
  </si>
  <si>
    <t>0450100000</t>
  </si>
  <si>
    <t>0450120430</t>
  </si>
  <si>
    <t>0450120480</t>
  </si>
  <si>
    <t>Мероприятия по правовому обеспечению и правовому информированию граждан (изготовление печатной продукции)</t>
  </si>
  <si>
    <t>0110281010</t>
  </si>
  <si>
    <t>Обслуживание лицевых счетов органов местного самоуправления, муниципальных учреждений поселения</t>
  </si>
  <si>
    <t>Устройство минерализованных полос вдоль дорог и просек</t>
  </si>
  <si>
    <t>0430120470</t>
  </si>
  <si>
    <t>0450120440</t>
  </si>
  <si>
    <t>1010700000</t>
  </si>
  <si>
    <t>1010700050</t>
  </si>
  <si>
    <t>Основное мероприятие "Проектирование и строительство системы теплоснабжения МКД пер. Восточный, 1,2,3,4, ул. В. Кима,6"</t>
  </si>
  <si>
    <t>Проектирование, строительство(реконструкция) объектов общественной инфраструктуры</t>
  </si>
  <si>
    <t>0860000000</t>
  </si>
  <si>
    <t>0860100000</t>
  </si>
  <si>
    <t>0860120830</t>
  </si>
  <si>
    <t>Подпрограмма "Формирование доступной среды жизнедеятельности инвалидов и других маломобильных групп населения на территории Краснокамского городского поселения"</t>
  </si>
  <si>
    <t>Мероприятия по созданию условий инвалидам и другим маломобильнымгруппам населения для беспрепятственного доступа к объектам культуры</t>
  </si>
  <si>
    <t xml:space="preserve">Осуществление внешнего муниципального контроля </t>
  </si>
  <si>
    <t>Подпрограмма "Осуществление мероприятий по гражданской обороне, защите населения и территории г. Краснокамска от чрезвычайных ситуаций природного и техногенного характера"</t>
  </si>
  <si>
    <t>Основное мероприятие "Профилактическая работа с населением по мерам пожарной безопасности, ГО и ЧС"</t>
  </si>
  <si>
    <t>Основное мероприятие "Профилактика правонарушений и преступлений на территории г. Краснокамска"</t>
  </si>
  <si>
    <t>Основное мероприятие  "Обеспечение деятельности казенного учреждения"</t>
  </si>
  <si>
    <t>от 15.12.2016 №94</t>
  </si>
  <si>
    <t xml:space="preserve">январь </t>
  </si>
  <si>
    <t>январь</t>
  </si>
  <si>
    <t>111022Т200</t>
  </si>
  <si>
    <t>Ремонт автомобильных дорог общего пользования местного значения Краснокамского городского поселения, в том числе дворовых территорий многоквартирных домов, проездов к дворовым территориям многоквартирных домов</t>
  </si>
  <si>
    <t>96000L0641</t>
  </si>
  <si>
    <t>96000L0642</t>
  </si>
  <si>
    <t>Осуществление мероприятий по ремонту автомобильных дорог в пределах границ населенного пункта поселения в рамках программы комплексного развития транспортной инфраструктуры "Безопасные и качественные дороги Пермской городской агломерации"</t>
  </si>
  <si>
    <t>9700000000</t>
  </si>
  <si>
    <t>9700081090</t>
  </si>
  <si>
    <t>февраль внеочередн.</t>
  </si>
  <si>
    <t>1200000000</t>
  </si>
  <si>
    <t>Муниципальная программа Краснокамского городского поселения "Формирование современной городской среды на территории муниципального образования Краснокамское городское поселение"</t>
  </si>
  <si>
    <t>1200100000</t>
  </si>
  <si>
    <t>Основное мероприятие «Благоустройство дворовых территорий Краснокамского городского поселения»</t>
  </si>
  <si>
    <t>12001R5550</t>
  </si>
  <si>
    <t>Реализация мероприятий приоритетного проекта «Формирование комфортной городской среды</t>
  </si>
  <si>
    <t>Реализация мероприятий приоритетного проекта «Формирование комфортной городской среды"</t>
  </si>
  <si>
    <t>1200200000</t>
  </si>
  <si>
    <t>Основное мероприятие «Благоустройство общественных территорий Краснокамского городского поселения»</t>
  </si>
  <si>
    <t>12002L5550</t>
  </si>
  <si>
    <t>12002R5550</t>
  </si>
  <si>
    <t>93000SP130</t>
  </si>
  <si>
    <t>Реализация проектов инициативного бюджетирования</t>
  </si>
  <si>
    <t>0314</t>
  </si>
  <si>
    <t>Другие вопросы в области национальной безопасности и правоохранительной деятельности</t>
  </si>
  <si>
    <t>Основное мероприятие "Размещение в СМИ материалов об исполнении органами местного самоуправления полномочий по решению вопросов местного значения"</t>
  </si>
  <si>
    <t>Размещение в СМИ нормативно-правовых и распорядительных актов органов местного самоуправления Краснокамского городского поселения, а также официальных материалов, посвященных исполнению полномочий органов местного самоуправления</t>
  </si>
  <si>
    <t>09101SE050</t>
  </si>
  <si>
    <t>930002В110</t>
  </si>
  <si>
    <t>930002Р130</t>
  </si>
  <si>
    <t>9800000000</t>
  </si>
  <si>
    <t>9800000180</t>
  </si>
  <si>
    <t>Проведение выборов и референдумов</t>
  </si>
  <si>
    <t>Проведение выборов</t>
  </si>
  <si>
    <t>0107</t>
  </si>
  <si>
    <t>Обеспечение проведения выборов и референдумов</t>
  </si>
  <si>
    <t>Организация видеонаблюдения на территории Краснокамского городского поселения</t>
  </si>
  <si>
    <t>сентябрь  №75 от 21.09.2017</t>
  </si>
  <si>
    <t>октябрь</t>
  </si>
  <si>
    <t>ноябрь</t>
  </si>
  <si>
    <t>12001L5550</t>
  </si>
  <si>
    <t>Изменения в 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 на 2017 год, тыс. рублей</t>
  </si>
  <si>
    <t>Изменения в ведомственную структуру расходов бюджета Краснокамского городского поселения на 2017 год, тыс.рублей</t>
  </si>
  <si>
    <t>Изменения в 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2017 год, тыс. рублей</t>
  </si>
  <si>
    <t>Муниципальная программа "Формирование современной городской среды на территории муниципального образования Краснокамское городское поселение"</t>
  </si>
  <si>
    <t>от 14.12 .2017 № 110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</si>
</sst>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_-* #,##0.0_р_._-;\-* #,##0.0_р_._-;_-* &quot;-&quot;_р_._-;_-@_-"/>
    <numFmt numFmtId="175" formatCode="0.0"/>
    <numFmt numFmtId="176" formatCode="_-* #,##0.00000_р_._-;\-* #,##0.00000_р_._-;_-* &quot;-&quot;_р_._-;_-@_-"/>
    <numFmt numFmtId="177" formatCode="_-* #,##0.00_р_._-;\-* #,##0.00_р_._-;_-* &quot;-&quot;_р_._-;_-@_-"/>
    <numFmt numFmtId="178" formatCode="_-* #,##0.000000_р_._-;\-* #,##0.000000_р_._-;_-* &quot;-&quot;_р_._-;_-@_-"/>
    <numFmt numFmtId="179" formatCode="_-* #,##0.0000_р_._-;\-* #,##0.00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000_р_._-;\-* #,##0.00000_р_._-;_-* &quot;-&quot;?_р_._-;_-@_-"/>
    <numFmt numFmtId="183" formatCode="_-* #,##0.000_р_._-;\-* #,##0.000_р_._-;_-* &quot;-&quot;?_р_._-;_-@_-"/>
    <numFmt numFmtId="184" formatCode="_-* #,##0.0000000_р_._-;\-* #,##0.0000000_р_._-;_-* &quot;-&quot;_р_._-;_-@_-"/>
    <numFmt numFmtId="185" formatCode="#,##0.000"/>
    <numFmt numFmtId="186" formatCode="#,##0.0000"/>
    <numFmt numFmtId="187" formatCode="000000"/>
    <numFmt numFmtId="188" formatCode="0.000"/>
    <numFmt numFmtId="189" formatCode="0.0000"/>
    <numFmt numFmtId="190" formatCode="0.00000"/>
    <numFmt numFmtId="191" formatCode="_-* #,##0.00_р_._-;\-* #,##0.00_р_._-;_-* &quot;-&quot;?_р_._-;_-@_-"/>
    <numFmt numFmtId="192" formatCode="_-* #,##0.0000_р_._-;\-* #,##0.0000_р_._-;_-* &quot;-&quot;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_-* #,##0.00000000_р_._-;\-* #,##0.00000000_р_._-;_-* &quot;-&quot;_р_._-;_-@_-"/>
    <numFmt numFmtId="199" formatCode="_-* #,##0.000000000_р_._-;\-* #,##0.000000000_р_._-;_-* &quot;-&quot;_р_._-;_-@_-"/>
    <numFmt numFmtId="200" formatCode="_-* #,##0.0000000000_р_._-;\-* #,##0.0000000000_р_._-;_-* &quot;-&quot;_р_._-;_-@_-"/>
    <numFmt numFmtId="201" formatCode="_-* #,##0.00000000000_р_._-;\-* #,##0.00000000000_р_._-;_-* &quot;-&quot;_р_._-;_-@_-"/>
    <numFmt numFmtId="202" formatCode="_-* #,##0.000000000000_р_._-;\-* #,##0.000000000000_р_._-;_-* &quot;-&quot;_р_._-;_-@_-"/>
    <numFmt numFmtId="203" formatCode="_-* #,##0.000000_р_._-;\-* #,##0.000000_р_._-;_-* &quot;-&quot;??????_р_._-;_-@_-"/>
    <numFmt numFmtId="204" formatCode="_-* #,##0.00000_р_._-;\-* #,##0.00000_р_._-;_-* &quot;-&quot;?????_р_._-;_-@_-"/>
    <numFmt numFmtId="205" formatCode="#,##0.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[$-FC19]d\ mmmm\ yyyy\ &quot;г.&quot;"/>
    <numFmt numFmtId="209" formatCode="mmm/yyyy"/>
    <numFmt numFmtId="210" formatCode="#,##0.0_ ;\-#,##0.0\ "/>
    <numFmt numFmtId="211" formatCode="0.000000"/>
    <numFmt numFmtId="212" formatCode="_-* #,##0.0_р_._-;\-* #,##0.0_р_._-;_-* &quot;-&quot;??_р_._-;_-@_-"/>
    <numFmt numFmtId="213" formatCode="#,##0.00_р_."/>
    <numFmt numFmtId="214" formatCode="_-* #,##0.0000_р_._-;\-* #,##0.0000_р_._-;_-* &quot;-&quot;????_р_._-;_-@_-"/>
    <numFmt numFmtId="215" formatCode="#,##0.0000000"/>
    <numFmt numFmtId="216" formatCode="#,##0.00_ ;\-#,##0.00\ "/>
    <numFmt numFmtId="217" formatCode="#,##0.000_ ;\-#,##0.000\ "/>
    <numFmt numFmtId="218" formatCode="#,##0.0000_ ;\-#,##0.0000\ "/>
    <numFmt numFmtId="219" formatCode="#,##0.00000_ ;\-#,##0.00000\ "/>
    <numFmt numFmtId="220" formatCode="#,##0.00000000"/>
    <numFmt numFmtId="221" formatCode="_-* #,##0.0\ _₽_-;\-* #,##0.0\ _₽_-;_-* &quot;-&quot;?\ _₽_-;_-@_-"/>
    <numFmt numFmtId="222" formatCode="#,##0.0_р_."/>
    <numFmt numFmtId="223" formatCode="_-* #,##0.00\ _₽_-;\-* #,##0.00\ _₽_-;_-* &quot;-&quot;?\ _₽_-;_-@_-"/>
    <numFmt numFmtId="224" formatCode="_-* #,##0.000\ _₽_-;\-* #,##0.000\ _₽_-;_-* &quot;-&quot;?\ _₽_-;_-@_-"/>
    <numFmt numFmtId="225" formatCode="_-* #,##0.0000\ _₽_-;\-* #,##0.0000\ _₽_-;_-* &quot;-&quot;?\ _₽_-;_-@_-"/>
    <numFmt numFmtId="226" formatCode="_-* #,##0.00000\ _₽_-;\-* #,##0.00000\ _₽_-;_-* &quot;-&quot;?\ _₽_-;_-@_-"/>
    <numFmt numFmtId="227" formatCode="_-* #,##0.00000\ _₽_-;\-* #,##0.00000\ _₽_-;_-* &quot;-&quot;???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7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172" fontId="4" fillId="0" borderId="0" xfId="54" applyNumberFormat="1" applyFont="1" applyFill="1" applyAlignment="1">
      <alignment horizontal="right" vertical="center"/>
      <protection/>
    </xf>
    <xf numFmtId="172" fontId="4" fillId="0" borderId="0" xfId="54" applyNumberFormat="1" applyFont="1" applyFill="1" applyAlignment="1">
      <alignment horizontal="right" vertical="center" wrapText="1"/>
      <protection/>
    </xf>
    <xf numFmtId="49" fontId="10" fillId="0" borderId="10" xfId="54" applyNumberFormat="1" applyFont="1" applyFill="1" applyBorder="1" applyAlignment="1">
      <alignment horizontal="center" vertical="center"/>
      <protection/>
    </xf>
    <xf numFmtId="49" fontId="4" fillId="0" borderId="0" xfId="54" applyNumberFormat="1" applyFont="1" applyFill="1" applyAlignment="1">
      <alignment horizontal="center"/>
      <protection/>
    </xf>
    <xf numFmtId="0" fontId="4" fillId="0" borderId="0" xfId="54" applyFont="1">
      <alignment/>
      <protection/>
    </xf>
    <xf numFmtId="0" fontId="9" fillId="0" borderId="0" xfId="54" applyFont="1">
      <alignment/>
      <protection/>
    </xf>
    <xf numFmtId="0" fontId="3" fillId="0" borderId="0" xfId="54" applyFont="1" applyAlignment="1">
      <alignment/>
      <protection/>
    </xf>
    <xf numFmtId="0" fontId="4" fillId="0" borderId="0" xfId="54" applyFont="1" applyAlignment="1">
      <alignment vertical="center" wrapText="1"/>
      <protection/>
    </xf>
    <xf numFmtId="49" fontId="7" fillId="0" borderId="10" xfId="54" applyNumberFormat="1" applyFont="1" applyFill="1" applyBorder="1" applyAlignment="1">
      <alignment horizontal="center" vertical="center"/>
      <protection/>
    </xf>
    <xf numFmtId="0" fontId="11" fillId="0" borderId="0" xfId="54" applyFont="1" applyAlignment="1">
      <alignment horizontal="center" vertical="center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174" fontId="10" fillId="0" borderId="10" xfId="54" applyNumberFormat="1" applyFont="1" applyFill="1" applyBorder="1" applyAlignment="1">
      <alignment horizontal="left" vertical="center" wrapText="1"/>
      <protection/>
    </xf>
    <xf numFmtId="2" fontId="10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68" applyNumberFormat="1" applyFont="1" applyFill="1" applyBorder="1" applyAlignment="1">
      <alignment horizontal="center" vertical="center"/>
    </xf>
    <xf numFmtId="49" fontId="4" fillId="0" borderId="10" xfId="54" applyNumberFormat="1" applyFont="1" applyFill="1" applyBorder="1" applyAlignment="1">
      <alignment horizontal="center" vertical="center"/>
      <protection/>
    </xf>
    <xf numFmtId="49" fontId="4" fillId="0" borderId="10" xfId="68" applyNumberFormat="1" applyFont="1" applyFill="1" applyBorder="1" applyAlignment="1">
      <alignment horizontal="center" vertical="center"/>
    </xf>
    <xf numFmtId="174" fontId="4" fillId="0" borderId="10" xfId="54" applyNumberFormat="1" applyFont="1" applyFill="1" applyBorder="1" applyAlignment="1">
      <alignment horizontal="left" vertical="center"/>
      <protection/>
    </xf>
    <xf numFmtId="49" fontId="10" fillId="0" borderId="10" xfId="54" applyNumberFormat="1" applyFont="1" applyBorder="1" applyAlignment="1">
      <alignment horizontal="left" vertical="center" wrapText="1"/>
      <protection/>
    </xf>
    <xf numFmtId="4" fontId="9" fillId="0" borderId="0" xfId="54" applyNumberFormat="1" applyFont="1" applyAlignment="1">
      <alignment horizontal="center" vertical="center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0" fontId="12" fillId="0" borderId="0" xfId="54" applyFont="1" applyAlignment="1">
      <alignment vertical="center"/>
      <protection/>
    </xf>
    <xf numFmtId="0" fontId="12" fillId="0" borderId="0" xfId="54" applyFont="1">
      <alignment/>
      <protection/>
    </xf>
    <xf numFmtId="0" fontId="13" fillId="0" borderId="0" xfId="54" applyFont="1">
      <alignment/>
      <protection/>
    </xf>
    <xf numFmtId="174" fontId="10" fillId="0" borderId="10" xfId="54" applyNumberFormat="1" applyFont="1" applyFill="1" applyBorder="1" applyAlignment="1">
      <alignment horizontal="left" vertical="center"/>
      <protection/>
    </xf>
    <xf numFmtId="49" fontId="4" fillId="33" borderId="10" xfId="54" applyNumberFormat="1" applyFont="1" applyFill="1" applyBorder="1" applyAlignment="1">
      <alignment horizontal="center"/>
      <protection/>
    </xf>
    <xf numFmtId="0" fontId="10" fillId="33" borderId="10" xfId="54" applyFont="1" applyFill="1" applyBorder="1" applyAlignment="1">
      <alignment horizontal="right"/>
      <protection/>
    </xf>
    <xf numFmtId="174" fontId="4" fillId="0" borderId="0" xfId="54" applyNumberFormat="1" applyFont="1" applyFill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 horizontal="left" vertical="center" wrapText="1"/>
      <protection/>
    </xf>
    <xf numFmtId="49" fontId="4" fillId="0" borderId="0" xfId="54" applyNumberFormat="1" applyFont="1" applyFill="1" applyBorder="1" applyAlignment="1">
      <alignment horizontal="left" vertical="center" wrapText="1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0" fontId="9" fillId="0" borderId="0" xfId="54" applyFont="1" applyFill="1">
      <alignment/>
      <protection/>
    </xf>
    <xf numFmtId="0" fontId="13" fillId="0" borderId="0" xfId="54" applyFont="1" applyFill="1">
      <alignment/>
      <protection/>
    </xf>
    <xf numFmtId="4" fontId="4" fillId="0" borderId="0" xfId="54" applyNumberFormat="1" applyFont="1" applyFill="1" applyAlignment="1">
      <alignment horizontal="right" vertical="center"/>
      <protection/>
    </xf>
    <xf numFmtId="0" fontId="3" fillId="0" borderId="0" xfId="54" applyFont="1" applyFill="1" applyAlignment="1">
      <alignment horizontal="right" vertical="center" wrapText="1"/>
      <protection/>
    </xf>
    <xf numFmtId="4" fontId="4" fillId="0" borderId="0" xfId="54" applyNumberFormat="1" applyFont="1" applyFill="1" applyAlignment="1">
      <alignment horizontal="center" vertical="center" wrapText="1"/>
      <protection/>
    </xf>
    <xf numFmtId="174" fontId="4" fillId="0" borderId="0" xfId="54" applyNumberFormat="1" applyFont="1" applyFill="1" applyAlignment="1">
      <alignment horizontal="left" vertical="center"/>
      <protection/>
    </xf>
    <xf numFmtId="4" fontId="4" fillId="0" borderId="0" xfId="54" applyNumberFormat="1" applyFont="1" applyFill="1" applyAlignment="1">
      <alignment horizontal="center" vertical="center"/>
      <protection/>
    </xf>
    <xf numFmtId="172" fontId="4" fillId="0" borderId="0" xfId="54" applyNumberFormat="1" applyFont="1" applyFill="1" applyAlignment="1">
      <alignment horizontal="center" vertical="center"/>
      <protection/>
    </xf>
    <xf numFmtId="49" fontId="8" fillId="0" borderId="10" xfId="54" applyNumberFormat="1" applyFont="1" applyFill="1" applyBorder="1" applyAlignment="1">
      <alignment horizontal="center" vertical="center"/>
      <protection/>
    </xf>
    <xf numFmtId="176" fontId="4" fillId="0" borderId="0" xfId="54" applyNumberFormat="1" applyFont="1" applyFill="1" applyAlignment="1">
      <alignment horizontal="right" vertical="center"/>
      <protection/>
    </xf>
    <xf numFmtId="176" fontId="3" fillId="0" borderId="0" xfId="54" applyNumberFormat="1" applyFont="1" applyFill="1" applyAlignment="1">
      <alignment horizontal="right" vertical="center" wrapText="1"/>
      <protection/>
    </xf>
    <xf numFmtId="176" fontId="9" fillId="0" borderId="0" xfId="54" applyNumberFormat="1" applyFont="1" applyFill="1">
      <alignment/>
      <protection/>
    </xf>
    <xf numFmtId="176" fontId="4" fillId="0" borderId="0" xfId="54" applyNumberFormat="1" applyFont="1" applyFill="1" applyAlignment="1">
      <alignment horizontal="center" vertical="center" wrapText="1"/>
      <protection/>
    </xf>
    <xf numFmtId="176" fontId="10" fillId="0" borderId="10" xfId="54" applyNumberFormat="1" applyFont="1" applyFill="1" applyBorder="1" applyAlignment="1">
      <alignment horizontal="center" vertical="center" wrapText="1"/>
      <protection/>
    </xf>
    <xf numFmtId="176" fontId="4" fillId="0" borderId="0" xfId="54" applyNumberFormat="1" applyFont="1" applyFill="1" applyBorder="1" applyAlignment="1">
      <alignment horizontal="left" vertical="center" wrapText="1"/>
      <protection/>
    </xf>
    <xf numFmtId="176" fontId="4" fillId="0" borderId="0" xfId="54" applyNumberFormat="1" applyFont="1" applyFill="1" applyAlignment="1">
      <alignment horizontal="left" vertical="center"/>
      <protection/>
    </xf>
    <xf numFmtId="176" fontId="4" fillId="0" borderId="0" xfId="54" applyNumberFormat="1" applyFont="1" applyFill="1" applyAlignment="1">
      <alignment horizontal="center" vertical="center"/>
      <protection/>
    </xf>
    <xf numFmtId="173" fontId="7" fillId="0" borderId="10" xfId="54" applyNumberFormat="1" applyFont="1" applyFill="1" applyBorder="1" applyAlignment="1">
      <alignment horizontal="center" vertical="center"/>
      <protection/>
    </xf>
    <xf numFmtId="173" fontId="8" fillId="0" borderId="10" xfId="54" applyNumberFormat="1" applyFont="1" applyFill="1" applyBorder="1" applyAlignment="1">
      <alignment horizontal="center" vertical="center"/>
      <protection/>
    </xf>
    <xf numFmtId="176" fontId="7" fillId="0" borderId="10" xfId="54" applyNumberFormat="1" applyFont="1" applyFill="1" applyBorder="1" applyAlignment="1">
      <alignment horizontal="center" vertical="center" wrapText="1"/>
      <protection/>
    </xf>
    <xf numFmtId="173" fontId="4" fillId="0" borderId="0" xfId="54" applyNumberFormat="1" applyFont="1" applyFill="1" applyAlignment="1">
      <alignment horizontal="right" vertical="center"/>
      <protection/>
    </xf>
    <xf numFmtId="173" fontId="4" fillId="0" borderId="0" xfId="54" applyNumberFormat="1" applyFont="1" applyFill="1" applyAlignment="1">
      <alignment horizontal="right" vertical="center" wrapText="1"/>
      <protection/>
    </xf>
    <xf numFmtId="0" fontId="14" fillId="0" borderId="0" xfId="54" applyFont="1">
      <alignment/>
      <protection/>
    </xf>
    <xf numFmtId="49" fontId="8" fillId="0" borderId="10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center" wrapText="1"/>
    </xf>
    <xf numFmtId="174" fontId="4" fillId="0" borderId="10" xfId="54" applyNumberFormat="1" applyFont="1" applyFill="1" applyBorder="1" applyAlignment="1">
      <alignment horizontal="center" vertical="center"/>
      <protection/>
    </xf>
    <xf numFmtId="174" fontId="10" fillId="0" borderId="10" xfId="54" applyNumberFormat="1" applyFont="1" applyFill="1" applyBorder="1" applyAlignment="1">
      <alignment horizontal="center" vertical="center"/>
      <protection/>
    </xf>
    <xf numFmtId="0" fontId="58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49" fontId="57" fillId="0" borderId="10" xfId="0" applyNumberFormat="1" applyFont="1" applyBorder="1" applyAlignment="1">
      <alignment horizontal="center" vertical="center"/>
    </xf>
    <xf numFmtId="49" fontId="7" fillId="0" borderId="10" xfId="68" applyNumberFormat="1" applyFont="1" applyFill="1" applyBorder="1" applyAlignment="1">
      <alignment horizontal="center" vertical="center"/>
    </xf>
    <xf numFmtId="174" fontId="8" fillId="0" borderId="10" xfId="54" applyNumberFormat="1" applyFont="1" applyFill="1" applyBorder="1" applyAlignment="1">
      <alignment horizontal="left" vertical="center" wrapText="1"/>
      <protection/>
    </xf>
    <xf numFmtId="174" fontId="8" fillId="0" borderId="10" xfId="54" applyNumberFormat="1" applyFont="1" applyFill="1" applyBorder="1" applyAlignment="1">
      <alignment horizontal="center" vertical="center" wrapText="1"/>
      <protection/>
    </xf>
    <xf numFmtId="49" fontId="8" fillId="0" borderId="10" xfId="68" applyNumberFormat="1" applyFont="1" applyFill="1" applyBorder="1" applyAlignment="1">
      <alignment horizontal="center" vertical="center"/>
    </xf>
    <xf numFmtId="49" fontId="8" fillId="0" borderId="10" xfId="54" applyNumberFormat="1" applyFont="1" applyBorder="1" applyAlignment="1">
      <alignment horizontal="left" vertical="center" wrapText="1"/>
      <protection/>
    </xf>
    <xf numFmtId="174" fontId="8" fillId="0" borderId="10" xfId="54" applyNumberFormat="1" applyFont="1" applyFill="1" applyBorder="1" applyAlignment="1">
      <alignment horizontal="left" vertical="center"/>
      <protection/>
    </xf>
    <xf numFmtId="174" fontId="8" fillId="0" borderId="10" xfId="54" applyNumberFormat="1" applyFont="1" applyFill="1" applyBorder="1" applyAlignment="1">
      <alignment horizontal="center" vertical="center"/>
      <protection/>
    </xf>
    <xf numFmtId="176" fontId="8" fillId="0" borderId="10" xfId="54" applyNumberFormat="1" applyFont="1" applyFill="1" applyBorder="1" applyAlignment="1">
      <alignment horizontal="left" vertical="center"/>
      <protection/>
    </xf>
    <xf numFmtId="174" fontId="7" fillId="0" borderId="10" xfId="54" applyNumberFormat="1" applyFont="1" applyFill="1" applyBorder="1" applyAlignment="1">
      <alignment horizontal="left" vertical="center" wrapText="1"/>
      <protection/>
    </xf>
    <xf numFmtId="49" fontId="15" fillId="0" borderId="10" xfId="54" applyNumberFormat="1" applyFont="1" applyFill="1" applyBorder="1" applyAlignment="1">
      <alignment horizontal="left" vertical="center" wrapText="1"/>
      <protection/>
    </xf>
    <xf numFmtId="174" fontId="7" fillId="0" borderId="10" xfId="54" applyNumberFormat="1" applyFont="1" applyFill="1" applyBorder="1" applyAlignment="1">
      <alignment horizontal="left" vertical="center"/>
      <protection/>
    </xf>
    <xf numFmtId="174" fontId="8" fillId="0" borderId="10" xfId="54" applyNumberFormat="1" applyFont="1" applyFill="1" applyBorder="1" applyAlignment="1">
      <alignment horizontal="right" vertical="center" wrapText="1"/>
      <protection/>
    </xf>
    <xf numFmtId="49" fontId="8" fillId="0" borderId="10" xfId="54" applyNumberFormat="1" applyFont="1" applyFill="1" applyBorder="1" applyAlignment="1">
      <alignment horizontal="left" vertical="center" wrapText="1"/>
      <protection/>
    </xf>
    <xf numFmtId="174" fontId="8" fillId="0" borderId="10" xfId="69" applyNumberFormat="1" applyFont="1" applyFill="1" applyBorder="1" applyAlignment="1">
      <alignment horizontal="left" vertical="center"/>
    </xf>
    <xf numFmtId="176" fontId="7" fillId="0" borderId="10" xfId="54" applyNumberFormat="1" applyFont="1" applyFill="1" applyBorder="1" applyAlignment="1">
      <alignment horizontal="left" vertical="center"/>
      <protection/>
    </xf>
    <xf numFmtId="176" fontId="8" fillId="0" borderId="10" xfId="54" applyNumberFormat="1" applyFont="1" applyFill="1" applyBorder="1" applyAlignment="1">
      <alignment horizontal="left" vertical="center" wrapText="1"/>
      <protection/>
    </xf>
    <xf numFmtId="174" fontId="8" fillId="34" borderId="10" xfId="54" applyNumberFormat="1" applyFont="1" applyFill="1" applyBorder="1" applyAlignment="1">
      <alignment horizontal="left" vertical="center"/>
      <protection/>
    </xf>
    <xf numFmtId="49" fontId="8" fillId="34" borderId="10" xfId="54" applyNumberFormat="1" applyFont="1" applyFill="1" applyBorder="1" applyAlignment="1">
      <alignment horizontal="center"/>
      <protection/>
    </xf>
    <xf numFmtId="0" fontId="7" fillId="34" borderId="10" xfId="54" applyFont="1" applyFill="1" applyBorder="1" applyAlignment="1">
      <alignment horizontal="right"/>
      <protection/>
    </xf>
    <xf numFmtId="49" fontId="15" fillId="0" borderId="10" xfId="68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center" wrapText="1"/>
    </xf>
    <xf numFmtId="49" fontId="57" fillId="0" borderId="10" xfId="0" applyNumberFormat="1" applyFont="1" applyFill="1" applyBorder="1" applyAlignment="1">
      <alignment horizontal="center" vertical="center"/>
    </xf>
    <xf numFmtId="49" fontId="8" fillId="0" borderId="0" xfId="54" applyNumberFormat="1" applyFont="1" applyFill="1" applyAlignment="1">
      <alignment horizontal="center"/>
      <protection/>
    </xf>
    <xf numFmtId="176" fontId="8" fillId="0" borderId="0" xfId="54" applyNumberFormat="1" applyFont="1" applyFill="1" applyBorder="1" applyAlignment="1">
      <alignment horizontal="left" vertical="center" wrapText="1"/>
      <protection/>
    </xf>
    <xf numFmtId="174" fontId="8" fillId="0" borderId="0" xfId="54" applyNumberFormat="1" applyFont="1" applyFill="1" applyBorder="1" applyAlignment="1">
      <alignment horizontal="left" vertical="center" wrapText="1"/>
      <protection/>
    </xf>
    <xf numFmtId="174" fontId="8" fillId="34" borderId="10" xfId="54" applyNumberFormat="1" applyFont="1" applyFill="1" applyBorder="1" applyAlignment="1">
      <alignment horizontal="center" vertical="center"/>
      <protection/>
    </xf>
    <xf numFmtId="174" fontId="8" fillId="34" borderId="10" xfId="54" applyNumberFormat="1" applyFont="1" applyFill="1" applyBorder="1" applyAlignment="1">
      <alignment horizontal="left" vertical="center" wrapText="1"/>
      <protection/>
    </xf>
    <xf numFmtId="174" fontId="7" fillId="34" borderId="10" xfId="54" applyNumberFormat="1" applyFont="1" applyFill="1" applyBorder="1" applyAlignment="1">
      <alignment horizontal="left" vertical="center" wrapText="1"/>
      <protection/>
    </xf>
    <xf numFmtId="174" fontId="7" fillId="34" borderId="10" xfId="54" applyNumberFormat="1" applyFont="1" applyFill="1" applyBorder="1" applyAlignment="1">
      <alignment horizontal="left" vertical="center"/>
      <protection/>
    </xf>
    <xf numFmtId="176" fontId="8" fillId="34" borderId="10" xfId="54" applyNumberFormat="1" applyFont="1" applyFill="1" applyBorder="1" applyAlignment="1">
      <alignment horizontal="left" vertical="center"/>
      <protection/>
    </xf>
    <xf numFmtId="174" fontId="8" fillId="34" borderId="10" xfId="69" applyNumberFormat="1" applyFont="1" applyFill="1" applyBorder="1" applyAlignment="1">
      <alignment horizontal="left" vertical="center"/>
    </xf>
    <xf numFmtId="176" fontId="4" fillId="34" borderId="0" xfId="54" applyNumberFormat="1" applyFont="1" applyFill="1" applyBorder="1" applyAlignment="1">
      <alignment horizontal="left" vertical="center" wrapText="1"/>
      <protection/>
    </xf>
    <xf numFmtId="49" fontId="15" fillId="0" borderId="10" xfId="54" applyNumberFormat="1" applyFont="1" applyFill="1" applyBorder="1" applyAlignment="1">
      <alignment horizontal="center" vertical="center"/>
      <protection/>
    </xf>
    <xf numFmtId="0" fontId="60" fillId="0" borderId="10" xfId="0" applyFont="1" applyBorder="1" applyAlignment="1">
      <alignment vertical="center" wrapText="1"/>
    </xf>
    <xf numFmtId="174" fontId="4" fillId="34" borderId="10" xfId="54" applyNumberFormat="1" applyFont="1" applyFill="1" applyBorder="1" applyAlignment="1">
      <alignment horizontal="left" vertical="center"/>
      <protection/>
    </xf>
    <xf numFmtId="49" fontId="10" fillId="34" borderId="10" xfId="54" applyNumberFormat="1" applyFont="1" applyFill="1" applyBorder="1" applyAlignment="1">
      <alignment horizontal="center" vertical="center"/>
      <protection/>
    </xf>
    <xf numFmtId="49" fontId="15" fillId="0" borderId="10" xfId="54" applyNumberFormat="1" applyFont="1" applyBorder="1" applyAlignment="1">
      <alignment horizontal="left" vertical="center" wrapText="1"/>
      <protection/>
    </xf>
    <xf numFmtId="0" fontId="59" fillId="34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49" fontId="8" fillId="34" borderId="10" xfId="68" applyNumberFormat="1" applyFont="1" applyFill="1" applyBorder="1" applyAlignment="1">
      <alignment horizontal="center" vertical="center"/>
    </xf>
    <xf numFmtId="49" fontId="8" fillId="34" borderId="10" xfId="54" applyNumberFormat="1" applyFont="1" applyFill="1" applyBorder="1" applyAlignment="1">
      <alignment horizontal="center" vertical="center"/>
      <protection/>
    </xf>
    <xf numFmtId="4" fontId="9" fillId="34" borderId="0" xfId="54" applyNumberFormat="1" applyFont="1" applyFill="1" applyAlignment="1">
      <alignment horizontal="center" vertical="center"/>
      <protection/>
    </xf>
    <xf numFmtId="49" fontId="8" fillId="34" borderId="10" xfId="54" applyNumberFormat="1" applyFont="1" applyFill="1" applyBorder="1" applyAlignment="1">
      <alignment horizontal="left" vertical="center" wrapText="1"/>
      <protection/>
    </xf>
    <xf numFmtId="0" fontId="12" fillId="34" borderId="0" xfId="54" applyFont="1" applyFill="1">
      <alignment/>
      <protection/>
    </xf>
    <xf numFmtId="49" fontId="7" fillId="0" borderId="10" xfId="54" applyNumberFormat="1" applyFont="1" applyFill="1" applyBorder="1" applyAlignment="1">
      <alignment horizontal="left" vertical="center" wrapText="1"/>
      <protection/>
    </xf>
    <xf numFmtId="49" fontId="59" fillId="0" borderId="10" xfId="0" applyNumberFormat="1" applyFont="1" applyBorder="1" applyAlignment="1">
      <alignment horizontal="center" vertical="center"/>
    </xf>
    <xf numFmtId="49" fontId="7" fillId="0" borderId="10" xfId="54" applyNumberFormat="1" applyFont="1" applyBorder="1" applyAlignment="1">
      <alignment horizontal="left" vertical="center" wrapText="1"/>
      <protection/>
    </xf>
    <xf numFmtId="174" fontId="7" fillId="0" borderId="0" xfId="54" applyNumberFormat="1" applyFont="1" applyFill="1" applyBorder="1" applyAlignment="1">
      <alignment horizontal="left" vertical="center"/>
      <protection/>
    </xf>
    <xf numFmtId="173" fontId="8" fillId="34" borderId="10" xfId="54" applyNumberFormat="1" applyFont="1" applyFill="1" applyBorder="1" applyAlignment="1">
      <alignment horizontal="center" vertical="center"/>
      <protection/>
    </xf>
    <xf numFmtId="49" fontId="58" fillId="0" borderId="10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vertical="center" wrapText="1"/>
    </xf>
    <xf numFmtId="174" fontId="10" fillId="34" borderId="10" xfId="54" applyNumberFormat="1" applyFont="1" applyFill="1" applyBorder="1" applyAlignment="1">
      <alignment horizontal="left" vertical="center" wrapText="1"/>
      <protection/>
    </xf>
    <xf numFmtId="174" fontId="10" fillId="34" borderId="10" xfId="54" applyNumberFormat="1" applyFont="1" applyFill="1" applyBorder="1" applyAlignment="1">
      <alignment horizontal="left" vertical="center"/>
      <protection/>
    </xf>
    <xf numFmtId="174" fontId="15" fillId="0" borderId="10" xfId="54" applyNumberFormat="1" applyFont="1" applyFill="1" applyBorder="1" applyAlignment="1">
      <alignment horizontal="left" vertical="center"/>
      <protection/>
    </xf>
    <xf numFmtId="176" fontId="10" fillId="34" borderId="10" xfId="54" applyNumberFormat="1" applyFont="1" applyFill="1" applyBorder="1" applyAlignment="1">
      <alignment horizontal="left" vertical="center"/>
      <protection/>
    </xf>
    <xf numFmtId="178" fontId="10" fillId="34" borderId="10" xfId="54" applyNumberFormat="1" applyFont="1" applyFill="1" applyBorder="1" applyAlignment="1">
      <alignment horizontal="left" vertical="center"/>
      <protection/>
    </xf>
    <xf numFmtId="205" fontId="7" fillId="0" borderId="10" xfId="54" applyNumberFormat="1" applyFont="1" applyFill="1" applyBorder="1" applyAlignment="1">
      <alignment horizontal="center" vertical="center"/>
      <protection/>
    </xf>
    <xf numFmtId="174" fontId="4" fillId="34" borderId="10" xfId="54" applyNumberFormat="1" applyFont="1" applyFill="1" applyBorder="1" applyAlignment="1">
      <alignment horizontal="left" vertical="center" wrapText="1"/>
      <protection/>
    </xf>
    <xf numFmtId="174" fontId="4" fillId="0" borderId="10" xfId="54" applyNumberFormat="1" applyFont="1" applyFill="1" applyBorder="1" applyAlignment="1">
      <alignment horizontal="left" vertical="center" wrapText="1"/>
      <protection/>
    </xf>
    <xf numFmtId="180" fontId="8" fillId="0" borderId="10" xfId="54" applyNumberFormat="1" applyFont="1" applyFill="1" applyBorder="1" applyAlignment="1">
      <alignment horizontal="left" vertical="center" wrapText="1"/>
      <protection/>
    </xf>
    <xf numFmtId="180" fontId="7" fillId="0" borderId="10" xfId="54" applyNumberFormat="1" applyFont="1" applyFill="1" applyBorder="1" applyAlignment="1">
      <alignment horizontal="left" vertical="center"/>
      <protection/>
    </xf>
    <xf numFmtId="180" fontId="10" fillId="34" borderId="10" xfId="54" applyNumberFormat="1" applyFont="1" applyFill="1" applyBorder="1" applyAlignment="1">
      <alignment horizontal="left" vertical="center"/>
      <protection/>
    </xf>
    <xf numFmtId="179" fontId="10" fillId="34" borderId="10" xfId="54" applyNumberFormat="1" applyFont="1" applyFill="1" applyBorder="1" applyAlignment="1">
      <alignment horizontal="left" vertical="center"/>
      <protection/>
    </xf>
    <xf numFmtId="179" fontId="8" fillId="34" borderId="10" xfId="54" applyNumberFormat="1" applyFont="1" applyFill="1" applyBorder="1" applyAlignment="1">
      <alignment horizontal="left" vertical="center" wrapText="1"/>
      <protection/>
    </xf>
    <xf numFmtId="176" fontId="7" fillId="34" borderId="10" xfId="54" applyNumberFormat="1" applyFont="1" applyFill="1" applyBorder="1" applyAlignment="1">
      <alignment horizontal="left" vertical="center"/>
      <protection/>
    </xf>
    <xf numFmtId="180" fontId="8" fillId="34" borderId="10" xfId="54" applyNumberFormat="1" applyFont="1" applyFill="1" applyBorder="1" applyAlignment="1">
      <alignment horizontal="left" vertical="center" wrapText="1"/>
      <protection/>
    </xf>
    <xf numFmtId="176" fontId="8" fillId="34" borderId="10" xfId="54" applyNumberFormat="1" applyFont="1" applyFill="1" applyBorder="1" applyAlignment="1">
      <alignment horizontal="left" vertical="center" wrapText="1"/>
      <protection/>
    </xf>
    <xf numFmtId="49" fontId="8" fillId="0" borderId="11" xfId="54" applyNumberFormat="1" applyFont="1" applyBorder="1" applyAlignment="1">
      <alignment horizontal="left" vertical="center" wrapText="1"/>
      <protection/>
    </xf>
    <xf numFmtId="49" fontId="7" fillId="0" borderId="11" xfId="54" applyNumberFormat="1" applyFont="1" applyBorder="1" applyAlignment="1">
      <alignment horizontal="left" vertical="center" wrapText="1"/>
      <protection/>
    </xf>
    <xf numFmtId="49" fontId="15" fillId="34" borderId="10" xfId="54" applyNumberFormat="1" applyFont="1" applyFill="1" applyBorder="1" applyAlignment="1">
      <alignment horizontal="center" vertical="center"/>
      <protection/>
    </xf>
    <xf numFmtId="0" fontId="59" fillId="34" borderId="10" xfId="57" applyFont="1" applyFill="1" applyBorder="1" applyAlignment="1">
      <alignment vertical="center" wrapText="1"/>
      <protection/>
    </xf>
    <xf numFmtId="0" fontId="57" fillId="34" borderId="10" xfId="57" applyFont="1" applyFill="1" applyBorder="1" applyAlignment="1">
      <alignment vertical="center" wrapText="1"/>
      <protection/>
    </xf>
    <xf numFmtId="171" fontId="57" fillId="34" borderId="10" xfId="57" applyNumberFormat="1" applyFont="1" applyFill="1" applyBorder="1" applyAlignment="1">
      <alignment vertical="center" wrapText="1"/>
      <protection/>
    </xf>
    <xf numFmtId="49" fontId="4" fillId="34" borderId="10" xfId="68" applyNumberFormat="1" applyFont="1" applyFill="1" applyBorder="1" applyAlignment="1">
      <alignment horizontal="center" vertical="center"/>
    </xf>
    <xf numFmtId="49" fontId="10" fillId="34" borderId="10" xfId="54" applyNumberFormat="1" applyFont="1" applyFill="1" applyBorder="1" applyAlignment="1">
      <alignment horizontal="left" vertical="center" wrapText="1"/>
      <protection/>
    </xf>
    <xf numFmtId="49" fontId="4" fillId="34" borderId="10" xfId="54" applyNumberFormat="1" applyFont="1" applyFill="1" applyBorder="1" applyAlignment="1">
      <alignment horizontal="center" vertical="center"/>
      <protection/>
    </xf>
    <xf numFmtId="49" fontId="7" fillId="34" borderId="10" xfId="68" applyNumberFormat="1" applyFont="1" applyFill="1" applyBorder="1" applyAlignment="1">
      <alignment horizontal="center" vertical="center"/>
    </xf>
    <xf numFmtId="49" fontId="7" fillId="34" borderId="10" xfId="54" applyNumberFormat="1" applyFont="1" applyFill="1" applyBorder="1" applyAlignment="1">
      <alignment horizontal="center" vertical="center"/>
      <protection/>
    </xf>
    <xf numFmtId="0" fontId="58" fillId="34" borderId="10" xfId="0" applyFont="1" applyFill="1" applyBorder="1" applyAlignment="1">
      <alignment vertical="center" wrapText="1"/>
    </xf>
    <xf numFmtId="49" fontId="15" fillId="34" borderId="10" xfId="68" applyNumberFormat="1" applyFont="1" applyFill="1" applyBorder="1" applyAlignment="1">
      <alignment horizontal="center" vertical="center"/>
    </xf>
    <xf numFmtId="49" fontId="57" fillId="34" borderId="12" xfId="68" applyNumberFormat="1" applyFont="1" applyFill="1" applyBorder="1" applyAlignment="1">
      <alignment horizontal="center" vertical="center"/>
    </xf>
    <xf numFmtId="226" fontId="12" fillId="0" borderId="0" xfId="54" applyNumberFormat="1" applyFont="1">
      <alignment/>
      <protection/>
    </xf>
    <xf numFmtId="190" fontId="10" fillId="34" borderId="10" xfId="54" applyNumberFormat="1" applyFont="1" applyFill="1" applyBorder="1" applyAlignment="1">
      <alignment horizontal="center" vertical="center"/>
      <protection/>
    </xf>
    <xf numFmtId="176" fontId="4" fillId="0" borderId="0" xfId="54" applyNumberFormat="1" applyFont="1" applyFill="1" applyAlignment="1">
      <alignment horizontal="right" vertical="center" wrapText="1"/>
      <protection/>
    </xf>
    <xf numFmtId="176" fontId="10" fillId="34" borderId="10" xfId="54" applyNumberFormat="1" applyFont="1" applyFill="1" applyBorder="1" applyAlignment="1">
      <alignment horizontal="left" vertical="center" wrapText="1"/>
      <protection/>
    </xf>
    <xf numFmtId="176" fontId="10" fillId="0" borderId="10" xfId="54" applyNumberFormat="1" applyFont="1" applyFill="1" applyBorder="1" applyAlignment="1">
      <alignment horizontal="left" vertical="center" wrapText="1"/>
      <protection/>
    </xf>
    <xf numFmtId="176" fontId="8" fillId="0" borderId="10" xfId="54" applyNumberFormat="1" applyFont="1" applyFill="1" applyBorder="1" applyAlignment="1">
      <alignment horizontal="center" vertical="center"/>
      <protection/>
    </xf>
    <xf numFmtId="176" fontId="8" fillId="0" borderId="10" xfId="54" applyNumberFormat="1" applyFont="1" applyFill="1" applyBorder="1" applyAlignment="1">
      <alignment horizontal="center" vertical="center" wrapText="1"/>
      <protection/>
    </xf>
    <xf numFmtId="176" fontId="7" fillId="34" borderId="10" xfId="54" applyNumberFormat="1" applyFont="1" applyFill="1" applyBorder="1" applyAlignment="1">
      <alignment horizontal="left" vertical="center" wrapText="1"/>
      <protection/>
    </xf>
    <xf numFmtId="176" fontId="7" fillId="0" borderId="10" xfId="54" applyNumberFormat="1" applyFont="1" applyFill="1" applyBorder="1" applyAlignment="1">
      <alignment horizontal="left" vertical="center" wrapText="1"/>
      <protection/>
    </xf>
    <xf numFmtId="176" fontId="4" fillId="0" borderId="10" xfId="54" applyNumberFormat="1" applyFont="1" applyFill="1" applyBorder="1" applyAlignment="1">
      <alignment horizontal="center" vertical="center"/>
      <protection/>
    </xf>
    <xf numFmtId="176" fontId="10" fillId="0" borderId="10" xfId="54" applyNumberFormat="1" applyFont="1" applyFill="1" applyBorder="1" applyAlignment="1">
      <alignment horizontal="left" vertical="center"/>
      <protection/>
    </xf>
    <xf numFmtId="176" fontId="8" fillId="34" borderId="10" xfId="54" applyNumberFormat="1" applyFont="1" applyFill="1" applyBorder="1" applyAlignment="1">
      <alignment horizontal="center" vertical="center"/>
      <protection/>
    </xf>
    <xf numFmtId="176" fontId="4" fillId="34" borderId="10" xfId="54" applyNumberFormat="1" applyFont="1" applyFill="1" applyBorder="1" applyAlignment="1">
      <alignment horizontal="left" vertical="center"/>
      <protection/>
    </xf>
    <xf numFmtId="0" fontId="9" fillId="0" borderId="0" xfId="54" applyFont="1" applyAlignment="1">
      <alignment horizontal="center"/>
      <protection/>
    </xf>
    <xf numFmtId="49" fontId="59" fillId="34" borderId="12" xfId="68" applyNumberFormat="1" applyFont="1" applyFill="1" applyBorder="1" applyAlignment="1">
      <alignment horizontal="center" vertical="center"/>
    </xf>
    <xf numFmtId="205" fontId="4" fillId="0" borderId="0" xfId="54" applyNumberFormat="1" applyFont="1" applyFill="1" applyAlignment="1">
      <alignment horizontal="center" vertical="center" wrapText="1"/>
      <protection/>
    </xf>
    <xf numFmtId="205" fontId="10" fillId="0" borderId="10" xfId="54" applyNumberFormat="1" applyFont="1" applyFill="1" applyBorder="1" applyAlignment="1">
      <alignment horizontal="center" vertical="center" wrapText="1"/>
      <protection/>
    </xf>
    <xf numFmtId="205" fontId="4" fillId="0" borderId="0" xfId="54" applyNumberFormat="1" applyFont="1" applyFill="1" applyAlignment="1">
      <alignment horizontal="center" vertical="center"/>
      <protection/>
    </xf>
    <xf numFmtId="205" fontId="9" fillId="0" borderId="0" xfId="54" applyNumberFormat="1" applyFont="1" applyFill="1" applyAlignment="1">
      <alignment horizontal="center"/>
      <protection/>
    </xf>
    <xf numFmtId="205" fontId="10" fillId="34" borderId="10" xfId="54" applyNumberFormat="1" applyFont="1" applyFill="1" applyBorder="1" applyAlignment="1">
      <alignment horizontal="center" vertical="center" wrapText="1"/>
      <protection/>
    </xf>
    <xf numFmtId="205" fontId="8" fillId="0" borderId="10" xfId="54" applyNumberFormat="1" applyFont="1" applyFill="1" applyBorder="1" applyAlignment="1">
      <alignment horizontal="center" vertical="center"/>
      <protection/>
    </xf>
    <xf numFmtId="205" fontId="7" fillId="34" borderId="10" xfId="54" applyNumberFormat="1" applyFont="1" applyFill="1" applyBorder="1" applyAlignment="1">
      <alignment horizontal="center" vertical="center"/>
      <protection/>
    </xf>
    <xf numFmtId="205" fontId="8" fillId="34" borderId="10" xfId="54" applyNumberFormat="1" applyFont="1" applyFill="1" applyBorder="1" applyAlignment="1">
      <alignment horizontal="center" vertical="center"/>
      <protection/>
    </xf>
    <xf numFmtId="205" fontId="10" fillId="34" borderId="10" xfId="54" applyNumberFormat="1" applyFont="1" applyFill="1" applyBorder="1" applyAlignment="1">
      <alignment horizontal="center" vertical="center"/>
      <protection/>
    </xf>
    <xf numFmtId="205" fontId="8" fillId="0" borderId="10" xfId="54" applyNumberFormat="1" applyFont="1" applyFill="1" applyBorder="1" applyAlignment="1">
      <alignment horizontal="center" vertical="center" wrapText="1"/>
      <protection/>
    </xf>
    <xf numFmtId="205" fontId="7" fillId="34" borderId="10" xfId="54" applyNumberFormat="1" applyFont="1" applyFill="1" applyBorder="1" applyAlignment="1">
      <alignment horizontal="center" vertical="center" wrapText="1"/>
      <protection/>
    </xf>
    <xf numFmtId="205" fontId="7" fillId="0" borderId="10" xfId="54" applyNumberFormat="1" applyFont="1" applyFill="1" applyBorder="1" applyAlignment="1">
      <alignment horizontal="center" vertical="center" wrapText="1"/>
      <protection/>
    </xf>
    <xf numFmtId="205" fontId="8" fillId="34" borderId="10" xfId="54" applyNumberFormat="1" applyFont="1" applyFill="1" applyBorder="1" applyAlignment="1">
      <alignment horizontal="center" vertical="center" wrapText="1"/>
      <protection/>
    </xf>
    <xf numFmtId="205" fontId="10" fillId="0" borderId="10" xfId="54" applyNumberFormat="1" applyFont="1" applyFill="1" applyBorder="1" applyAlignment="1">
      <alignment horizontal="center" vertical="center"/>
      <protection/>
    </xf>
    <xf numFmtId="205" fontId="4" fillId="34" borderId="10" xfId="54" applyNumberFormat="1" applyFont="1" applyFill="1" applyBorder="1" applyAlignment="1">
      <alignment horizontal="center" vertical="center"/>
      <protection/>
    </xf>
    <xf numFmtId="205" fontId="4" fillId="0" borderId="0" xfId="54" applyNumberFormat="1" applyFont="1" applyFill="1" applyBorder="1" applyAlignment="1">
      <alignment horizontal="center" vertical="center" wrapText="1"/>
      <protection/>
    </xf>
    <xf numFmtId="173" fontId="4" fillId="0" borderId="0" xfId="54" applyNumberFormat="1" applyFont="1" applyFill="1" applyAlignment="1">
      <alignment horizontal="center" vertical="center"/>
      <protection/>
    </xf>
    <xf numFmtId="173" fontId="4" fillId="0" borderId="0" xfId="54" applyNumberFormat="1" applyFont="1" applyFill="1" applyAlignment="1">
      <alignment horizontal="center" vertical="center" wrapText="1"/>
      <protection/>
    </xf>
    <xf numFmtId="173" fontId="9" fillId="0" borderId="0" xfId="54" applyNumberFormat="1" applyFont="1" applyFill="1" applyAlignment="1">
      <alignment horizontal="center"/>
      <protection/>
    </xf>
    <xf numFmtId="173" fontId="10" fillId="0" borderId="10" xfId="54" applyNumberFormat="1" applyFont="1" applyFill="1" applyBorder="1" applyAlignment="1">
      <alignment horizontal="center" vertical="center" wrapText="1"/>
      <protection/>
    </xf>
    <xf numFmtId="173" fontId="10" fillId="34" borderId="10" xfId="54" applyNumberFormat="1" applyFont="1" applyFill="1" applyBorder="1" applyAlignment="1">
      <alignment horizontal="center" vertical="center" wrapText="1"/>
      <protection/>
    </xf>
    <xf numFmtId="173" fontId="7" fillId="34" borderId="10" xfId="54" applyNumberFormat="1" applyFont="1" applyFill="1" applyBorder="1" applyAlignment="1">
      <alignment horizontal="center" vertical="center"/>
      <protection/>
    </xf>
    <xf numFmtId="173" fontId="10" fillId="34" borderId="10" xfId="54" applyNumberFormat="1" applyFont="1" applyFill="1" applyBorder="1" applyAlignment="1">
      <alignment horizontal="center" vertical="center"/>
      <protection/>
    </xf>
    <xf numFmtId="173" fontId="4" fillId="34" borderId="10" xfId="54" applyNumberFormat="1" applyFont="1" applyFill="1" applyBorder="1" applyAlignment="1">
      <alignment horizontal="center" vertical="center"/>
      <protection/>
    </xf>
    <xf numFmtId="173" fontId="7" fillId="34" borderId="10" xfId="54" applyNumberFormat="1" applyFont="1" applyFill="1" applyBorder="1" applyAlignment="1">
      <alignment horizontal="center" vertical="center" wrapText="1"/>
      <protection/>
    </xf>
    <xf numFmtId="173" fontId="8" fillId="34" borderId="10" xfId="54" applyNumberFormat="1" applyFont="1" applyFill="1" applyBorder="1" applyAlignment="1">
      <alignment horizontal="center" vertical="center" wrapText="1"/>
      <protection/>
    </xf>
    <xf numFmtId="173" fontId="10" fillId="0" borderId="10" xfId="54" applyNumberFormat="1" applyFont="1" applyFill="1" applyBorder="1" applyAlignment="1">
      <alignment horizontal="center" vertical="center"/>
      <protection/>
    </xf>
    <xf numFmtId="173" fontId="7" fillId="0" borderId="10" xfId="54" applyNumberFormat="1" applyFont="1" applyFill="1" applyBorder="1" applyAlignment="1">
      <alignment horizontal="center" vertical="center" wrapText="1"/>
      <protection/>
    </xf>
    <xf numFmtId="173" fontId="8" fillId="0" borderId="10" xfId="54" applyNumberFormat="1" applyFont="1" applyFill="1" applyBorder="1" applyAlignment="1">
      <alignment horizontal="center" vertical="center" wrapText="1"/>
      <protection/>
    </xf>
    <xf numFmtId="173" fontId="4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6" fillId="0" borderId="0" xfId="58" applyFont="1" applyAlignment="1">
      <alignment horizontal="center" vertical="center" wrapText="1"/>
      <protection/>
    </xf>
    <xf numFmtId="0" fontId="0" fillId="0" borderId="0" xfId="0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5" xfId="57"/>
    <cellStyle name="Обычный_Доходная часть бюджет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393"/>
  <sheetViews>
    <sheetView view="pageBreakPreview" zoomScaleNormal="90" zoomScaleSheetLayoutView="100" workbookViewId="0" topLeftCell="A1">
      <selection activeCell="Q3" sqref="Q3"/>
    </sheetView>
  </sheetViews>
  <sheetFormatPr defaultColWidth="9.140625" defaultRowHeight="15" outlineLevelCol="1"/>
  <cols>
    <col min="1" max="1" width="11.28125" style="6" customWidth="1"/>
    <col min="2" max="2" width="8.7109375" style="6" customWidth="1"/>
    <col min="3" max="3" width="45.8515625" style="7" customWidth="1"/>
    <col min="4" max="4" width="20.57421875" style="49" hidden="1" customWidth="1"/>
    <col min="5" max="5" width="19.140625" style="49" hidden="1" customWidth="1"/>
    <col min="6" max="6" width="16.00390625" style="49" hidden="1" customWidth="1" outlineLevel="1"/>
    <col min="7" max="7" width="16.7109375" style="49" hidden="1" customWidth="1" outlineLevel="1"/>
    <col min="8" max="8" width="15.28125" style="49" hidden="1" customWidth="1" outlineLevel="1"/>
    <col min="9" max="9" width="16.140625" style="49" hidden="1" customWidth="1" outlineLevel="1"/>
    <col min="10" max="10" width="14.28125" style="39" hidden="1" customWidth="1" outlineLevel="1"/>
    <col min="11" max="11" width="15.140625" style="49" hidden="1" customWidth="1" outlineLevel="1"/>
    <col min="12" max="12" width="19.421875" style="39" hidden="1" customWidth="1" outlineLevel="1"/>
    <col min="13" max="13" width="17.140625" style="39" hidden="1" customWidth="1" outlineLevel="1"/>
    <col min="14" max="14" width="12.57421875" style="39" hidden="1" customWidth="1" outlineLevel="1"/>
    <col min="15" max="16" width="14.57421875" style="39" hidden="1" customWidth="1" outlineLevel="1"/>
    <col min="17" max="17" width="14.57421875" style="39" customWidth="1" collapsed="1"/>
    <col min="18" max="18" width="12.8515625" style="39" hidden="1" customWidth="1"/>
    <col min="19" max="19" width="9.140625" style="8" customWidth="1"/>
    <col min="20" max="16384" width="9.140625" style="8" customWidth="1"/>
  </cols>
  <sheetData>
    <row r="1" spans="4:18" ht="12">
      <c r="D1" s="3"/>
      <c r="F1" s="42"/>
      <c r="G1" s="53"/>
      <c r="H1" s="3"/>
      <c r="I1" s="3"/>
      <c r="J1" s="3"/>
      <c r="K1" s="42"/>
      <c r="M1" s="3"/>
      <c r="N1" s="35"/>
      <c r="O1" s="35"/>
      <c r="P1" s="3" t="s">
        <v>103</v>
      </c>
      <c r="Q1" s="3" t="s">
        <v>15</v>
      </c>
      <c r="R1" s="35"/>
    </row>
    <row r="2" spans="4:18" ht="61.5" customHeight="1">
      <c r="D2" s="4"/>
      <c r="F2" s="43"/>
      <c r="G2" s="54"/>
      <c r="H2" s="4"/>
      <c r="I2" s="4"/>
      <c r="J2" s="4"/>
      <c r="K2" s="43"/>
      <c r="M2" s="4"/>
      <c r="N2" s="36"/>
      <c r="O2" s="36"/>
      <c r="P2" s="4" t="s">
        <v>16</v>
      </c>
      <c r="Q2" s="4" t="s">
        <v>16</v>
      </c>
      <c r="R2" s="36"/>
    </row>
    <row r="3" spans="3:18" ht="13.5" customHeight="1">
      <c r="C3" s="9"/>
      <c r="D3" s="53"/>
      <c r="F3" s="42"/>
      <c r="G3" s="53"/>
      <c r="H3" s="53"/>
      <c r="I3" s="53"/>
      <c r="J3" s="53"/>
      <c r="K3" s="42"/>
      <c r="M3" s="53"/>
      <c r="N3" s="3"/>
      <c r="O3" s="3"/>
      <c r="P3" s="53" t="s">
        <v>519</v>
      </c>
      <c r="Q3" s="53" t="s">
        <v>565</v>
      </c>
      <c r="R3" s="3"/>
    </row>
    <row r="4" spans="4:18" ht="12">
      <c r="D4" s="44"/>
      <c r="E4" s="44"/>
      <c r="F4" s="44"/>
      <c r="G4" s="44"/>
      <c r="H4" s="44"/>
      <c r="I4" s="44"/>
      <c r="J4" s="33"/>
      <c r="K4" s="44"/>
      <c r="L4" s="33"/>
      <c r="M4" s="33"/>
      <c r="N4" s="33"/>
      <c r="O4" s="33"/>
      <c r="P4" s="33"/>
      <c r="Q4" s="33"/>
      <c r="R4" s="33"/>
    </row>
    <row r="5" spans="1:18" ht="78.75" customHeight="1">
      <c r="A5" s="194" t="s">
        <v>561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8"/>
    </row>
    <row r="6" spans="3:18" ht="12">
      <c r="C6" s="10"/>
      <c r="D6" s="45"/>
      <c r="E6" s="45"/>
      <c r="F6" s="45"/>
      <c r="G6" s="45"/>
      <c r="H6" s="45"/>
      <c r="I6" s="45"/>
      <c r="J6" s="37"/>
      <c r="K6" s="45"/>
      <c r="L6" s="37"/>
      <c r="M6" s="37"/>
      <c r="N6" s="37"/>
      <c r="O6" s="37"/>
      <c r="P6" s="37"/>
      <c r="Q6" s="37"/>
      <c r="R6" s="37"/>
    </row>
    <row r="7" spans="3:18" ht="12">
      <c r="C7" s="10"/>
      <c r="D7" s="45"/>
      <c r="E7" s="45"/>
      <c r="F7" s="45"/>
      <c r="G7" s="45"/>
      <c r="H7" s="45"/>
      <c r="I7" s="45"/>
      <c r="J7" s="37"/>
      <c r="K7" s="45"/>
      <c r="L7" s="37"/>
      <c r="M7" s="37"/>
      <c r="N7" s="37"/>
      <c r="O7" s="37"/>
      <c r="P7" s="37"/>
      <c r="Q7" s="37"/>
      <c r="R7" s="37"/>
    </row>
    <row r="8" spans="1:18" s="12" customFormat="1" ht="42" customHeight="1">
      <c r="A8" s="11" t="s">
        <v>24</v>
      </c>
      <c r="B8" s="11" t="s">
        <v>25</v>
      </c>
      <c r="C8" s="11" t="s">
        <v>26</v>
      </c>
      <c r="D8" s="52" t="s">
        <v>160</v>
      </c>
      <c r="E8" s="52" t="s">
        <v>107</v>
      </c>
      <c r="F8" s="52" t="s">
        <v>520</v>
      </c>
      <c r="G8" s="52" t="s">
        <v>444</v>
      </c>
      <c r="H8" s="52" t="s">
        <v>451</v>
      </c>
      <c r="I8" s="52" t="s">
        <v>529</v>
      </c>
      <c r="J8" s="52" t="s">
        <v>455</v>
      </c>
      <c r="K8" s="52" t="s">
        <v>457</v>
      </c>
      <c r="L8" s="52" t="s">
        <v>458</v>
      </c>
      <c r="M8" s="52" t="s">
        <v>475</v>
      </c>
      <c r="N8" s="52" t="s">
        <v>557</v>
      </c>
      <c r="O8" s="52" t="s">
        <v>558</v>
      </c>
      <c r="P8" s="52" t="s">
        <v>559</v>
      </c>
      <c r="Q8" s="52" t="s">
        <v>106</v>
      </c>
      <c r="R8" s="32"/>
    </row>
    <row r="9" spans="1:18" ht="44.25" customHeight="1">
      <c r="A9" s="63" t="s">
        <v>164</v>
      </c>
      <c r="B9" s="41"/>
      <c r="C9" s="60" t="s">
        <v>108</v>
      </c>
      <c r="D9" s="71">
        <f>D10+D22</f>
        <v>13369.3</v>
      </c>
      <c r="E9" s="71">
        <f aca="true" t="shared" si="0" ref="E9:J9">E10+E22</f>
        <v>13054.25</v>
      </c>
      <c r="F9" s="71">
        <f t="shared" si="0"/>
        <v>0</v>
      </c>
      <c r="G9" s="71">
        <f t="shared" si="0"/>
        <v>72.8</v>
      </c>
      <c r="H9" s="71">
        <f t="shared" si="0"/>
        <v>280.05</v>
      </c>
      <c r="I9" s="71">
        <f t="shared" si="0"/>
        <v>0</v>
      </c>
      <c r="J9" s="71">
        <f t="shared" si="0"/>
        <v>0</v>
      </c>
      <c r="K9" s="71">
        <f aca="true" t="shared" si="1" ref="K9:R9">K10+K22</f>
        <v>0</v>
      </c>
      <c r="L9" s="71">
        <f t="shared" si="1"/>
        <v>0</v>
      </c>
      <c r="M9" s="71">
        <f t="shared" si="1"/>
        <v>0</v>
      </c>
      <c r="N9" s="71">
        <f t="shared" si="1"/>
        <v>-741.2</v>
      </c>
      <c r="O9" s="71">
        <f t="shared" si="1"/>
        <v>0</v>
      </c>
      <c r="P9" s="71">
        <f>P10+P22</f>
        <v>0</v>
      </c>
      <c r="Q9" s="71">
        <f>Q10+Q22</f>
        <v>73.3</v>
      </c>
      <c r="R9" s="71">
        <f t="shared" si="1"/>
        <v>0</v>
      </c>
    </row>
    <row r="10" spans="1:18" ht="25.5">
      <c r="A10" s="82" t="s">
        <v>161</v>
      </c>
      <c r="B10" s="99"/>
      <c r="C10" s="61" t="s">
        <v>109</v>
      </c>
      <c r="D10" s="71">
        <f>D11+D16+D19</f>
        <v>4280.4</v>
      </c>
      <c r="E10" s="71">
        <f aca="true" t="shared" si="2" ref="E10:J10">E11+E16+E19</f>
        <v>4706.55</v>
      </c>
      <c r="F10" s="71">
        <f t="shared" si="2"/>
        <v>0</v>
      </c>
      <c r="G10" s="71">
        <f t="shared" si="2"/>
        <v>72.8</v>
      </c>
      <c r="H10" s="71">
        <f t="shared" si="2"/>
        <v>280.05</v>
      </c>
      <c r="I10" s="71">
        <f t="shared" si="2"/>
        <v>0</v>
      </c>
      <c r="J10" s="71">
        <f t="shared" si="2"/>
        <v>0</v>
      </c>
      <c r="K10" s="71">
        <f aca="true" t="shared" si="3" ref="K10:R10">K11+K16+K19</f>
        <v>0</v>
      </c>
      <c r="L10" s="71">
        <f t="shared" si="3"/>
        <v>0</v>
      </c>
      <c r="M10" s="71">
        <f t="shared" si="3"/>
        <v>0</v>
      </c>
      <c r="N10" s="71">
        <f t="shared" si="3"/>
        <v>0</v>
      </c>
      <c r="O10" s="71">
        <f t="shared" si="3"/>
        <v>0</v>
      </c>
      <c r="P10" s="71">
        <f>P11+P16+P19</f>
        <v>0</v>
      </c>
      <c r="Q10" s="71">
        <f>Q11+Q16+Q19</f>
        <v>73.3</v>
      </c>
      <c r="R10" s="71">
        <f t="shared" si="3"/>
        <v>0</v>
      </c>
    </row>
    <row r="11" spans="1:18" ht="25.5">
      <c r="A11" s="62" t="s">
        <v>162</v>
      </c>
      <c r="B11" s="41"/>
      <c r="C11" s="57" t="s">
        <v>165</v>
      </c>
      <c r="D11" s="64">
        <f aca="true" t="shared" si="4" ref="D11:R11">D12</f>
        <v>3487.2000000000003</v>
      </c>
      <c r="E11" s="64">
        <f t="shared" si="4"/>
        <v>3796.2500000000005</v>
      </c>
      <c r="F11" s="64">
        <f t="shared" si="4"/>
        <v>0</v>
      </c>
      <c r="G11" s="64">
        <f t="shared" si="4"/>
        <v>0</v>
      </c>
      <c r="H11" s="64">
        <f t="shared" si="4"/>
        <v>280.05</v>
      </c>
      <c r="I11" s="64">
        <f t="shared" si="4"/>
        <v>0</v>
      </c>
      <c r="J11" s="64">
        <f t="shared" si="4"/>
        <v>0</v>
      </c>
      <c r="K11" s="64">
        <f t="shared" si="4"/>
        <v>0</v>
      </c>
      <c r="L11" s="64">
        <f t="shared" si="4"/>
        <v>0</v>
      </c>
      <c r="M11" s="64">
        <f t="shared" si="4"/>
        <v>0</v>
      </c>
      <c r="N11" s="64">
        <f t="shared" si="4"/>
        <v>0</v>
      </c>
      <c r="O11" s="64">
        <f t="shared" si="4"/>
        <v>0</v>
      </c>
      <c r="P11" s="64">
        <f t="shared" si="4"/>
        <v>0</v>
      </c>
      <c r="Q11" s="64">
        <f t="shared" si="4"/>
        <v>29</v>
      </c>
      <c r="R11" s="64">
        <f t="shared" si="4"/>
        <v>0</v>
      </c>
    </row>
    <row r="12" spans="1:18" ht="25.5">
      <c r="A12" s="62" t="s">
        <v>163</v>
      </c>
      <c r="B12" s="41"/>
      <c r="C12" s="57" t="s">
        <v>166</v>
      </c>
      <c r="D12" s="64">
        <f aca="true" t="shared" si="5" ref="D12:O12">D13+D14+D15</f>
        <v>3487.2000000000003</v>
      </c>
      <c r="E12" s="64">
        <f t="shared" si="5"/>
        <v>3796.2500000000005</v>
      </c>
      <c r="F12" s="64">
        <f t="shared" si="5"/>
        <v>0</v>
      </c>
      <c r="G12" s="64">
        <f t="shared" si="5"/>
        <v>0</v>
      </c>
      <c r="H12" s="64">
        <f t="shared" si="5"/>
        <v>280.05</v>
      </c>
      <c r="I12" s="64">
        <f t="shared" si="5"/>
        <v>0</v>
      </c>
      <c r="J12" s="64">
        <f t="shared" si="5"/>
        <v>0</v>
      </c>
      <c r="K12" s="64">
        <f t="shared" si="5"/>
        <v>0</v>
      </c>
      <c r="L12" s="64">
        <f t="shared" si="5"/>
        <v>0</v>
      </c>
      <c r="M12" s="64">
        <f t="shared" si="5"/>
        <v>0</v>
      </c>
      <c r="N12" s="64">
        <f t="shared" si="5"/>
        <v>0</v>
      </c>
      <c r="O12" s="64">
        <f t="shared" si="5"/>
        <v>0</v>
      </c>
      <c r="P12" s="64">
        <f>P13+P14+P15</f>
        <v>0</v>
      </c>
      <c r="Q12" s="64">
        <f>Q13+Q14+Q15</f>
        <v>29</v>
      </c>
      <c r="R12" s="64"/>
    </row>
    <row r="13" spans="1:18" ht="51">
      <c r="A13" s="66"/>
      <c r="B13" s="41" t="s">
        <v>2</v>
      </c>
      <c r="C13" s="67" t="s">
        <v>94</v>
      </c>
      <c r="D13" s="68">
        <f>3260</f>
        <v>3260</v>
      </c>
      <c r="E13" s="68">
        <f>D13+SUM(F13:R13)</f>
        <v>3540.05</v>
      </c>
      <c r="F13" s="68"/>
      <c r="G13" s="68"/>
      <c r="H13" s="69">
        <f>280.05</f>
        <v>280.05</v>
      </c>
      <c r="I13" s="69"/>
      <c r="J13" s="68"/>
      <c r="K13" s="70"/>
      <c r="L13" s="68"/>
      <c r="M13" s="68"/>
      <c r="N13" s="68"/>
      <c r="O13" s="68">
        <v>-29</v>
      </c>
      <c r="P13" s="68"/>
      <c r="Q13" s="68">
        <v>29</v>
      </c>
      <c r="R13" s="68"/>
    </row>
    <row r="14" spans="1:18" ht="25.5" hidden="1">
      <c r="A14" s="66"/>
      <c r="B14" s="41" t="s">
        <v>3</v>
      </c>
      <c r="C14" s="67" t="s">
        <v>95</v>
      </c>
      <c r="D14" s="68">
        <f>226.8</f>
        <v>226.8</v>
      </c>
      <c r="E14" s="68">
        <f>D14+SUM(F14:R14)</f>
        <v>255.8</v>
      </c>
      <c r="F14" s="68"/>
      <c r="G14" s="68"/>
      <c r="H14" s="69">
        <v>0</v>
      </c>
      <c r="I14" s="69"/>
      <c r="J14" s="68"/>
      <c r="K14" s="70"/>
      <c r="L14" s="68"/>
      <c r="M14" s="68"/>
      <c r="N14" s="68"/>
      <c r="O14" s="68">
        <v>29</v>
      </c>
      <c r="P14" s="68"/>
      <c r="Q14" s="68"/>
      <c r="R14" s="68"/>
    </row>
    <row r="15" spans="1:18" ht="12.75" hidden="1">
      <c r="A15" s="66"/>
      <c r="B15" s="41" t="s">
        <v>4</v>
      </c>
      <c r="C15" s="67" t="s">
        <v>5</v>
      </c>
      <c r="D15" s="68">
        <f>0.4</f>
        <v>0.4</v>
      </c>
      <c r="E15" s="68">
        <f>D15+SUM(F15:R15)</f>
        <v>0.4</v>
      </c>
      <c r="F15" s="68"/>
      <c r="G15" s="68"/>
      <c r="H15" s="69"/>
      <c r="I15" s="69"/>
      <c r="J15" s="68"/>
      <c r="K15" s="70"/>
      <c r="L15" s="68"/>
      <c r="M15" s="68"/>
      <c r="N15" s="68"/>
      <c r="O15" s="68"/>
      <c r="P15" s="68"/>
      <c r="Q15" s="68"/>
      <c r="R15" s="68"/>
    </row>
    <row r="16" spans="1:18" ht="50.25" customHeight="1">
      <c r="A16" s="66" t="s">
        <v>171</v>
      </c>
      <c r="B16" s="41"/>
      <c r="C16" s="67" t="s">
        <v>172</v>
      </c>
      <c r="D16" s="68">
        <f>D17</f>
        <v>293.2</v>
      </c>
      <c r="E16" s="68">
        <f aca="true" t="shared" si="6" ref="E16:Q17">E17</f>
        <v>410.29999999999995</v>
      </c>
      <c r="F16" s="68">
        <f t="shared" si="6"/>
        <v>0</v>
      </c>
      <c r="G16" s="68">
        <f t="shared" si="6"/>
        <v>72.8</v>
      </c>
      <c r="H16" s="68">
        <f t="shared" si="6"/>
        <v>0</v>
      </c>
      <c r="I16" s="68">
        <f t="shared" si="6"/>
        <v>0</v>
      </c>
      <c r="J16" s="68">
        <f t="shared" si="6"/>
        <v>0</v>
      </c>
      <c r="K16" s="68">
        <f t="shared" si="6"/>
        <v>0</v>
      </c>
      <c r="L16" s="68">
        <f aca="true" t="shared" si="7" ref="L16:R16">L17</f>
        <v>0</v>
      </c>
      <c r="M16" s="68">
        <f t="shared" si="7"/>
        <v>0</v>
      </c>
      <c r="N16" s="68">
        <f t="shared" si="7"/>
        <v>0</v>
      </c>
      <c r="O16" s="68">
        <f t="shared" si="7"/>
        <v>0</v>
      </c>
      <c r="P16" s="68">
        <f t="shared" si="7"/>
        <v>0</v>
      </c>
      <c r="Q16" s="68">
        <f t="shared" si="7"/>
        <v>44.3</v>
      </c>
      <c r="R16" s="68">
        <f t="shared" si="7"/>
        <v>0</v>
      </c>
    </row>
    <row r="17" spans="1:18" ht="45.75" customHeight="1">
      <c r="A17" s="66" t="s">
        <v>500</v>
      </c>
      <c r="B17" s="41"/>
      <c r="C17" s="57" t="s">
        <v>501</v>
      </c>
      <c r="D17" s="64">
        <f>D18</f>
        <v>293.2</v>
      </c>
      <c r="E17" s="64">
        <f t="shared" si="6"/>
        <v>410.29999999999995</v>
      </c>
      <c r="F17" s="64">
        <f t="shared" si="6"/>
        <v>0</v>
      </c>
      <c r="G17" s="64">
        <f t="shared" si="6"/>
        <v>72.8</v>
      </c>
      <c r="H17" s="64">
        <f t="shared" si="6"/>
        <v>0</v>
      </c>
      <c r="I17" s="64">
        <f t="shared" si="6"/>
        <v>0</v>
      </c>
      <c r="J17" s="64">
        <f t="shared" si="6"/>
        <v>0</v>
      </c>
      <c r="K17" s="64">
        <f t="shared" si="6"/>
        <v>0</v>
      </c>
      <c r="L17" s="64">
        <f t="shared" si="6"/>
        <v>0</v>
      </c>
      <c r="M17" s="64">
        <f t="shared" si="6"/>
        <v>0</v>
      </c>
      <c r="N17" s="64">
        <f t="shared" si="6"/>
        <v>0</v>
      </c>
      <c r="O17" s="64">
        <f t="shared" si="6"/>
        <v>0</v>
      </c>
      <c r="P17" s="64">
        <f t="shared" si="6"/>
        <v>0</v>
      </c>
      <c r="Q17" s="64">
        <f t="shared" si="6"/>
        <v>44.3</v>
      </c>
      <c r="R17" s="68"/>
    </row>
    <row r="18" spans="1:18" ht="12.75">
      <c r="A18" s="66"/>
      <c r="B18" s="41" t="s">
        <v>9</v>
      </c>
      <c r="C18" s="67" t="s">
        <v>37</v>
      </c>
      <c r="D18" s="64">
        <v>293.2</v>
      </c>
      <c r="E18" s="64">
        <f>D18+SUM(F18:R18)</f>
        <v>410.29999999999995</v>
      </c>
      <c r="F18" s="64"/>
      <c r="G18" s="64">
        <v>72.8</v>
      </c>
      <c r="H18" s="65"/>
      <c r="I18" s="65"/>
      <c r="J18" s="68"/>
      <c r="K18" s="70"/>
      <c r="L18" s="68"/>
      <c r="M18" s="68"/>
      <c r="N18" s="68"/>
      <c r="O18" s="68"/>
      <c r="P18" s="68"/>
      <c r="Q18" s="68">
        <v>44.3</v>
      </c>
      <c r="R18" s="68"/>
    </row>
    <row r="19" spans="1:18" ht="38.25" hidden="1">
      <c r="A19" s="82" t="s">
        <v>167</v>
      </c>
      <c r="B19" s="99"/>
      <c r="C19" s="103" t="s">
        <v>169</v>
      </c>
      <c r="D19" s="68">
        <f>D20</f>
        <v>500</v>
      </c>
      <c r="E19" s="68">
        <f aca="true" t="shared" si="8" ref="E19:K19">E20</f>
        <v>500</v>
      </c>
      <c r="F19" s="68">
        <f t="shared" si="8"/>
        <v>0</v>
      </c>
      <c r="G19" s="68">
        <f t="shared" si="8"/>
        <v>0</v>
      </c>
      <c r="H19" s="68">
        <f t="shared" si="8"/>
        <v>0</v>
      </c>
      <c r="I19" s="68">
        <f t="shared" si="8"/>
        <v>0</v>
      </c>
      <c r="J19" s="68">
        <f t="shared" si="8"/>
        <v>0</v>
      </c>
      <c r="K19" s="68">
        <f t="shared" si="8"/>
        <v>0</v>
      </c>
      <c r="L19" s="68"/>
      <c r="M19" s="68"/>
      <c r="N19" s="68"/>
      <c r="O19" s="68"/>
      <c r="P19" s="68"/>
      <c r="Q19" s="68"/>
      <c r="R19" s="68"/>
    </row>
    <row r="20" spans="1:18" ht="45.75" customHeight="1" hidden="1">
      <c r="A20" s="66" t="s">
        <v>168</v>
      </c>
      <c r="B20" s="41"/>
      <c r="C20" s="57" t="s">
        <v>170</v>
      </c>
      <c r="D20" s="64">
        <f>D21</f>
        <v>500</v>
      </c>
      <c r="E20" s="64">
        <f>E21</f>
        <v>500</v>
      </c>
      <c r="F20" s="64">
        <f>F21</f>
        <v>0</v>
      </c>
      <c r="G20" s="64">
        <f>G21</f>
        <v>0</v>
      </c>
      <c r="H20" s="64">
        <f>H21</f>
        <v>0</v>
      </c>
      <c r="I20" s="64">
        <f>I21</f>
        <v>0</v>
      </c>
      <c r="J20" s="64">
        <f aca="true" t="shared" si="9" ref="J20:R20">J21</f>
        <v>0</v>
      </c>
      <c r="K20" s="64">
        <f t="shared" si="9"/>
        <v>0</v>
      </c>
      <c r="L20" s="64">
        <f t="shared" si="9"/>
        <v>0</v>
      </c>
      <c r="M20" s="64">
        <f t="shared" si="9"/>
        <v>0</v>
      </c>
      <c r="N20" s="64">
        <f t="shared" si="9"/>
        <v>0</v>
      </c>
      <c r="O20" s="64">
        <f t="shared" si="9"/>
        <v>0</v>
      </c>
      <c r="P20" s="64">
        <f t="shared" si="9"/>
        <v>0</v>
      </c>
      <c r="Q20" s="64">
        <f t="shared" si="9"/>
        <v>0</v>
      </c>
      <c r="R20" s="64">
        <f t="shared" si="9"/>
        <v>0</v>
      </c>
    </row>
    <row r="21" spans="1:18" ht="12.75" hidden="1">
      <c r="A21" s="66"/>
      <c r="B21" s="41" t="s">
        <v>4</v>
      </c>
      <c r="C21" s="67" t="s">
        <v>5</v>
      </c>
      <c r="D21" s="64">
        <v>500</v>
      </c>
      <c r="E21" s="64">
        <f>D21+SUM(F21:R21)</f>
        <v>500</v>
      </c>
      <c r="F21" s="64"/>
      <c r="G21" s="64"/>
      <c r="H21" s="58"/>
      <c r="I21" s="58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25.5" hidden="1">
      <c r="A22" s="82" t="s">
        <v>186</v>
      </c>
      <c r="B22" s="99"/>
      <c r="C22" s="103" t="s">
        <v>189</v>
      </c>
      <c r="D22" s="71">
        <f>D23</f>
        <v>9088.9</v>
      </c>
      <c r="E22" s="71">
        <f aca="true" t="shared" si="10" ref="E22:R24">E23</f>
        <v>8347.699999999999</v>
      </c>
      <c r="F22" s="71">
        <f t="shared" si="10"/>
        <v>0</v>
      </c>
      <c r="G22" s="71">
        <f t="shared" si="10"/>
        <v>0</v>
      </c>
      <c r="H22" s="71">
        <f t="shared" si="10"/>
        <v>0</v>
      </c>
      <c r="I22" s="71">
        <f t="shared" si="10"/>
        <v>0</v>
      </c>
      <c r="J22" s="71">
        <f t="shared" si="10"/>
        <v>0</v>
      </c>
      <c r="K22" s="71">
        <f t="shared" si="10"/>
        <v>0</v>
      </c>
      <c r="L22" s="71">
        <f t="shared" si="10"/>
        <v>0</v>
      </c>
      <c r="M22" s="71">
        <f t="shared" si="10"/>
        <v>0</v>
      </c>
      <c r="N22" s="71">
        <f t="shared" si="10"/>
        <v>-741.2</v>
      </c>
      <c r="O22" s="71">
        <f t="shared" si="10"/>
        <v>0</v>
      </c>
      <c r="P22" s="71">
        <f t="shared" si="10"/>
        <v>0</v>
      </c>
      <c r="Q22" s="71">
        <f t="shared" si="10"/>
        <v>0</v>
      </c>
      <c r="R22" s="71">
        <f t="shared" si="10"/>
        <v>0</v>
      </c>
    </row>
    <row r="23" spans="1:18" ht="25.5" hidden="1">
      <c r="A23" s="66" t="s">
        <v>187</v>
      </c>
      <c r="B23" s="41"/>
      <c r="C23" s="67" t="s">
        <v>190</v>
      </c>
      <c r="D23" s="64">
        <f>D24</f>
        <v>9088.9</v>
      </c>
      <c r="E23" s="64">
        <f t="shared" si="10"/>
        <v>8347.699999999999</v>
      </c>
      <c r="F23" s="64">
        <f t="shared" si="10"/>
        <v>0</v>
      </c>
      <c r="G23" s="64">
        <f t="shared" si="10"/>
        <v>0</v>
      </c>
      <c r="H23" s="64">
        <f t="shared" si="10"/>
        <v>0</v>
      </c>
      <c r="I23" s="64">
        <f t="shared" si="10"/>
        <v>0</v>
      </c>
      <c r="J23" s="64">
        <f t="shared" si="10"/>
        <v>0</v>
      </c>
      <c r="K23" s="64">
        <f t="shared" si="10"/>
        <v>0</v>
      </c>
      <c r="L23" s="64">
        <f t="shared" si="10"/>
        <v>0</v>
      </c>
      <c r="M23" s="64">
        <f t="shared" si="10"/>
        <v>0</v>
      </c>
      <c r="N23" s="64">
        <f t="shared" si="10"/>
        <v>-741.2</v>
      </c>
      <c r="O23" s="64">
        <f t="shared" si="10"/>
        <v>0</v>
      </c>
      <c r="P23" s="64">
        <f t="shared" si="10"/>
        <v>0</v>
      </c>
      <c r="Q23" s="64">
        <f t="shared" si="10"/>
        <v>0</v>
      </c>
      <c r="R23" s="64">
        <f t="shared" si="10"/>
        <v>0</v>
      </c>
    </row>
    <row r="24" spans="1:18" ht="38.25" hidden="1">
      <c r="A24" s="66" t="s">
        <v>188</v>
      </c>
      <c r="B24" s="41"/>
      <c r="C24" s="67" t="s">
        <v>191</v>
      </c>
      <c r="D24" s="64">
        <f>D25</f>
        <v>9088.9</v>
      </c>
      <c r="E24" s="64">
        <f t="shared" si="10"/>
        <v>8347.699999999999</v>
      </c>
      <c r="F24" s="64">
        <f t="shared" si="10"/>
        <v>0</v>
      </c>
      <c r="G24" s="64">
        <f t="shared" si="10"/>
        <v>0</v>
      </c>
      <c r="H24" s="64">
        <f t="shared" si="10"/>
        <v>0</v>
      </c>
      <c r="I24" s="64">
        <f t="shared" si="10"/>
        <v>0</v>
      </c>
      <c r="J24" s="64">
        <f t="shared" si="10"/>
        <v>0</v>
      </c>
      <c r="K24" s="64">
        <f t="shared" si="10"/>
        <v>0</v>
      </c>
      <c r="L24" s="64">
        <f t="shared" si="10"/>
        <v>0</v>
      </c>
      <c r="M24" s="64">
        <f t="shared" si="10"/>
        <v>0</v>
      </c>
      <c r="N24" s="64">
        <f t="shared" si="10"/>
        <v>-741.2</v>
      </c>
      <c r="O24" s="64">
        <f t="shared" si="10"/>
        <v>0</v>
      </c>
      <c r="P24" s="64">
        <f t="shared" si="10"/>
        <v>0</v>
      </c>
      <c r="Q24" s="64">
        <f t="shared" si="10"/>
        <v>0</v>
      </c>
      <c r="R24" s="64">
        <f t="shared" si="10"/>
        <v>0</v>
      </c>
    </row>
    <row r="25" spans="1:18" ht="25.5" hidden="1">
      <c r="A25" s="66"/>
      <c r="B25" s="41" t="s">
        <v>8</v>
      </c>
      <c r="C25" s="109" t="s">
        <v>98</v>
      </c>
      <c r="D25" s="64">
        <v>9088.9</v>
      </c>
      <c r="E25" s="64">
        <f>D25+SUM(F25:R25)</f>
        <v>8347.699999999999</v>
      </c>
      <c r="F25" s="64"/>
      <c r="G25" s="64"/>
      <c r="H25" s="58"/>
      <c r="I25" s="58"/>
      <c r="J25" s="64"/>
      <c r="K25" s="64"/>
      <c r="L25" s="64"/>
      <c r="M25" s="64"/>
      <c r="N25" s="64">
        <f>-741.2</f>
        <v>-741.2</v>
      </c>
      <c r="O25" s="64"/>
      <c r="P25" s="64"/>
      <c r="Q25" s="64"/>
      <c r="R25" s="64"/>
    </row>
    <row r="26" spans="1:18" ht="54" customHeight="1">
      <c r="A26" s="63" t="s">
        <v>174</v>
      </c>
      <c r="B26" s="11"/>
      <c r="C26" s="60" t="s">
        <v>110</v>
      </c>
      <c r="D26" s="73">
        <f>D27+D37</f>
        <v>16269.1</v>
      </c>
      <c r="E26" s="73">
        <f aca="true" t="shared" si="11" ref="E26:R26">E27+E37</f>
        <v>14996.26</v>
      </c>
      <c r="F26" s="73">
        <f t="shared" si="11"/>
        <v>0</v>
      </c>
      <c r="G26" s="73">
        <f t="shared" si="11"/>
        <v>0</v>
      </c>
      <c r="H26" s="73">
        <f t="shared" si="11"/>
        <v>632.4</v>
      </c>
      <c r="I26" s="73">
        <f t="shared" si="11"/>
        <v>0</v>
      </c>
      <c r="J26" s="73">
        <f t="shared" si="11"/>
        <v>10.8</v>
      </c>
      <c r="K26" s="73">
        <f t="shared" si="11"/>
        <v>68.26</v>
      </c>
      <c r="L26" s="73">
        <f t="shared" si="11"/>
        <v>0</v>
      </c>
      <c r="M26" s="73">
        <f t="shared" si="11"/>
        <v>10.8</v>
      </c>
      <c r="N26" s="73">
        <f t="shared" si="11"/>
        <v>-1000</v>
      </c>
      <c r="O26" s="73">
        <f t="shared" si="11"/>
        <v>-227.3</v>
      </c>
      <c r="P26" s="73">
        <f>P27+P37</f>
        <v>-300</v>
      </c>
      <c r="Q26" s="73">
        <f>Q27+Q37</f>
        <v>-467.8</v>
      </c>
      <c r="R26" s="73">
        <f t="shared" si="11"/>
        <v>0</v>
      </c>
    </row>
    <row r="27" spans="1:18" ht="25.5">
      <c r="A27" s="82" t="s">
        <v>175</v>
      </c>
      <c r="B27" s="41"/>
      <c r="C27" s="61" t="s">
        <v>111</v>
      </c>
      <c r="D27" s="68">
        <f>D28+D32</f>
        <v>15769.1</v>
      </c>
      <c r="E27" s="68">
        <f aca="true" t="shared" si="12" ref="E27:R27">E28+E32</f>
        <v>14948.86</v>
      </c>
      <c r="F27" s="68">
        <f t="shared" si="12"/>
        <v>0</v>
      </c>
      <c r="G27" s="68">
        <f t="shared" si="12"/>
        <v>0</v>
      </c>
      <c r="H27" s="68">
        <f t="shared" si="12"/>
        <v>632.4</v>
      </c>
      <c r="I27" s="68">
        <f t="shared" si="12"/>
        <v>0</v>
      </c>
      <c r="J27" s="68">
        <f t="shared" si="12"/>
        <v>10.8</v>
      </c>
      <c r="K27" s="68">
        <f t="shared" si="12"/>
        <v>68.26</v>
      </c>
      <c r="L27" s="68">
        <f t="shared" si="12"/>
        <v>0</v>
      </c>
      <c r="M27" s="68">
        <f t="shared" si="12"/>
        <v>10.8</v>
      </c>
      <c r="N27" s="68">
        <f t="shared" si="12"/>
        <v>-1000</v>
      </c>
      <c r="O27" s="68">
        <f t="shared" si="12"/>
        <v>-227.3</v>
      </c>
      <c r="P27" s="68">
        <f>P28+P32</f>
        <v>-300</v>
      </c>
      <c r="Q27" s="68">
        <f>Q28+Q32</f>
        <v>-15.199999999999989</v>
      </c>
      <c r="R27" s="68">
        <f t="shared" si="12"/>
        <v>0</v>
      </c>
    </row>
    <row r="28" spans="1:18" ht="25.5">
      <c r="A28" s="66" t="s">
        <v>176</v>
      </c>
      <c r="B28" s="41"/>
      <c r="C28" s="57" t="s">
        <v>178</v>
      </c>
      <c r="D28" s="68">
        <f>D29</f>
        <v>9722.7</v>
      </c>
      <c r="E28" s="68">
        <f aca="true" t="shared" si="13" ref="E28:R28">E29</f>
        <v>8401.460000000001</v>
      </c>
      <c r="F28" s="68">
        <f t="shared" si="13"/>
        <v>0</v>
      </c>
      <c r="G28" s="68">
        <f t="shared" si="13"/>
        <v>0</v>
      </c>
      <c r="H28" s="68">
        <f t="shared" si="13"/>
        <v>131.4</v>
      </c>
      <c r="I28" s="68">
        <f t="shared" si="13"/>
        <v>0</v>
      </c>
      <c r="J28" s="68">
        <f t="shared" si="13"/>
        <v>10.8</v>
      </c>
      <c r="K28" s="68">
        <f t="shared" si="13"/>
        <v>68.26</v>
      </c>
      <c r="L28" s="68">
        <f t="shared" si="13"/>
        <v>0</v>
      </c>
      <c r="M28" s="68">
        <f t="shared" si="13"/>
        <v>10.8</v>
      </c>
      <c r="N28" s="68">
        <f t="shared" si="13"/>
        <v>-1000</v>
      </c>
      <c r="O28" s="68">
        <f t="shared" si="13"/>
        <v>-227.3</v>
      </c>
      <c r="P28" s="68">
        <f t="shared" si="13"/>
        <v>-300</v>
      </c>
      <c r="Q28" s="68">
        <f t="shared" si="13"/>
        <v>-15.199999999999989</v>
      </c>
      <c r="R28" s="68">
        <f t="shared" si="13"/>
        <v>0</v>
      </c>
    </row>
    <row r="29" spans="1:18" ht="25.5">
      <c r="A29" s="66" t="s">
        <v>177</v>
      </c>
      <c r="B29" s="41"/>
      <c r="C29" s="57" t="s">
        <v>179</v>
      </c>
      <c r="D29" s="68">
        <f>D30+D31</f>
        <v>9722.7</v>
      </c>
      <c r="E29" s="68">
        <f aca="true" t="shared" si="14" ref="E29:R29">E30+E31</f>
        <v>8401.460000000001</v>
      </c>
      <c r="F29" s="68">
        <f t="shared" si="14"/>
        <v>0</v>
      </c>
      <c r="G29" s="68">
        <f t="shared" si="14"/>
        <v>0</v>
      </c>
      <c r="H29" s="68">
        <f t="shared" si="14"/>
        <v>131.4</v>
      </c>
      <c r="I29" s="68">
        <f t="shared" si="14"/>
        <v>0</v>
      </c>
      <c r="J29" s="68">
        <f t="shared" si="14"/>
        <v>10.8</v>
      </c>
      <c r="K29" s="68">
        <f t="shared" si="14"/>
        <v>68.26</v>
      </c>
      <c r="L29" s="68">
        <f t="shared" si="14"/>
        <v>0</v>
      </c>
      <c r="M29" s="68">
        <f t="shared" si="14"/>
        <v>10.8</v>
      </c>
      <c r="N29" s="68">
        <f t="shared" si="14"/>
        <v>-1000</v>
      </c>
      <c r="O29" s="68">
        <f t="shared" si="14"/>
        <v>-227.3</v>
      </c>
      <c r="P29" s="68">
        <f>P30+P31</f>
        <v>-300</v>
      </c>
      <c r="Q29" s="68">
        <f>Q30+Q31</f>
        <v>-15.199999999999989</v>
      </c>
      <c r="R29" s="68">
        <f t="shared" si="14"/>
        <v>0</v>
      </c>
    </row>
    <row r="30" spans="1:18" ht="25.5">
      <c r="A30" s="66"/>
      <c r="B30" s="41" t="s">
        <v>3</v>
      </c>
      <c r="C30" s="67" t="s">
        <v>95</v>
      </c>
      <c r="D30" s="68">
        <f>8222.7</f>
        <v>8222.7</v>
      </c>
      <c r="E30" s="64">
        <f>D30+SUM(F30:R30)</f>
        <v>7883.960000000001</v>
      </c>
      <c r="F30" s="93"/>
      <c r="G30" s="68"/>
      <c r="H30" s="69">
        <f>99+32.4</f>
        <v>131.4</v>
      </c>
      <c r="I30" s="69"/>
      <c r="J30" s="68">
        <v>10.8</v>
      </c>
      <c r="K30" s="96">
        <f>68.26</f>
        <v>68.26</v>
      </c>
      <c r="L30" s="68"/>
      <c r="M30" s="68">
        <v>10.8</v>
      </c>
      <c r="N30" s="70">
        <f>-100</f>
        <v>-100</v>
      </c>
      <c r="O30" s="70"/>
      <c r="P30" s="70">
        <v>-300</v>
      </c>
      <c r="Q30" s="68">
        <v>-160</v>
      </c>
      <c r="R30" s="70"/>
    </row>
    <row r="31" spans="1:18" ht="12.75">
      <c r="A31" s="66"/>
      <c r="B31" s="41" t="s">
        <v>4</v>
      </c>
      <c r="C31" s="67" t="s">
        <v>5</v>
      </c>
      <c r="D31" s="68">
        <f>1500</f>
        <v>1500</v>
      </c>
      <c r="E31" s="64">
        <f>D31+SUM(F31:R31)</f>
        <v>517.5</v>
      </c>
      <c r="F31" s="74"/>
      <c r="G31" s="68"/>
      <c r="H31" s="69"/>
      <c r="I31" s="69"/>
      <c r="J31" s="68"/>
      <c r="K31" s="70"/>
      <c r="L31" s="68"/>
      <c r="M31" s="68"/>
      <c r="N31" s="68">
        <f>-900</f>
        <v>-900</v>
      </c>
      <c r="O31" s="68">
        <f>-95.3-132</f>
        <v>-227.3</v>
      </c>
      <c r="P31" s="68"/>
      <c r="Q31" s="68">
        <v>144.8</v>
      </c>
      <c r="R31" s="68"/>
    </row>
    <row r="32" spans="1:18" ht="29.25" customHeight="1" hidden="1">
      <c r="A32" s="66" t="s">
        <v>180</v>
      </c>
      <c r="B32" s="41"/>
      <c r="C32" s="67" t="s">
        <v>165</v>
      </c>
      <c r="D32" s="68">
        <f>D33</f>
        <v>6046.4</v>
      </c>
      <c r="E32" s="68">
        <f aca="true" t="shared" si="15" ref="E32:R32">E33</f>
        <v>6547.4</v>
      </c>
      <c r="F32" s="68">
        <f t="shared" si="15"/>
        <v>0</v>
      </c>
      <c r="G32" s="68">
        <f t="shared" si="15"/>
        <v>0</v>
      </c>
      <c r="H32" s="68">
        <f t="shared" si="15"/>
        <v>501</v>
      </c>
      <c r="I32" s="68">
        <f t="shared" si="15"/>
        <v>0</v>
      </c>
      <c r="J32" s="68">
        <f t="shared" si="15"/>
        <v>0</v>
      </c>
      <c r="K32" s="68">
        <f t="shared" si="15"/>
        <v>0</v>
      </c>
      <c r="L32" s="68">
        <f t="shared" si="15"/>
        <v>0</v>
      </c>
      <c r="M32" s="68">
        <f t="shared" si="15"/>
        <v>0</v>
      </c>
      <c r="N32" s="68">
        <f t="shared" si="15"/>
        <v>0</v>
      </c>
      <c r="O32" s="68">
        <f t="shared" si="15"/>
        <v>0</v>
      </c>
      <c r="P32" s="68">
        <f t="shared" si="15"/>
        <v>0</v>
      </c>
      <c r="Q32" s="68">
        <f t="shared" si="15"/>
        <v>0</v>
      </c>
      <c r="R32" s="68">
        <f t="shared" si="15"/>
        <v>0</v>
      </c>
    </row>
    <row r="33" spans="1:18" ht="28.5" customHeight="1" hidden="1">
      <c r="A33" s="66" t="s">
        <v>181</v>
      </c>
      <c r="B33" s="41"/>
      <c r="C33" s="57" t="s">
        <v>166</v>
      </c>
      <c r="D33" s="64">
        <f>D34+D35+D36</f>
        <v>6046.4</v>
      </c>
      <c r="E33" s="64">
        <f aca="true" t="shared" si="16" ref="E33:R33">E34+E35+E36</f>
        <v>6547.4</v>
      </c>
      <c r="F33" s="64">
        <f t="shared" si="16"/>
        <v>0</v>
      </c>
      <c r="G33" s="64">
        <f t="shared" si="16"/>
        <v>0</v>
      </c>
      <c r="H33" s="64">
        <f t="shared" si="16"/>
        <v>501</v>
      </c>
      <c r="I33" s="64">
        <f t="shared" si="16"/>
        <v>0</v>
      </c>
      <c r="J33" s="64">
        <f t="shared" si="16"/>
        <v>0</v>
      </c>
      <c r="K33" s="64">
        <f t="shared" si="16"/>
        <v>0</v>
      </c>
      <c r="L33" s="64">
        <f t="shared" si="16"/>
        <v>0</v>
      </c>
      <c r="M33" s="64">
        <f t="shared" si="16"/>
        <v>0</v>
      </c>
      <c r="N33" s="64">
        <f t="shared" si="16"/>
        <v>0</v>
      </c>
      <c r="O33" s="64">
        <f t="shared" si="16"/>
        <v>0</v>
      </c>
      <c r="P33" s="64">
        <f>P34+P35+P36</f>
        <v>0</v>
      </c>
      <c r="Q33" s="64">
        <f>Q34+Q35+Q36</f>
        <v>0</v>
      </c>
      <c r="R33" s="64">
        <f t="shared" si="16"/>
        <v>0</v>
      </c>
    </row>
    <row r="34" spans="1:18" ht="51" hidden="1">
      <c r="A34" s="66"/>
      <c r="B34" s="41" t="s">
        <v>2</v>
      </c>
      <c r="C34" s="67" t="s">
        <v>94</v>
      </c>
      <c r="D34" s="64">
        <f>5445.9</f>
        <v>5445.9</v>
      </c>
      <c r="E34" s="64">
        <f>D34+SUM(F34:R34)</f>
        <v>5946.9</v>
      </c>
      <c r="F34" s="64"/>
      <c r="G34" s="68"/>
      <c r="H34" s="69">
        <f>501</f>
        <v>501</v>
      </c>
      <c r="I34" s="69"/>
      <c r="J34" s="70"/>
      <c r="K34" s="64"/>
      <c r="L34" s="70"/>
      <c r="M34" s="70"/>
      <c r="N34" s="70"/>
      <c r="O34" s="70"/>
      <c r="P34" s="70"/>
      <c r="Q34" s="70"/>
      <c r="R34" s="70"/>
    </row>
    <row r="35" spans="1:18" ht="25.5" hidden="1">
      <c r="A35" s="66"/>
      <c r="B35" s="41" t="s">
        <v>3</v>
      </c>
      <c r="C35" s="67" t="s">
        <v>95</v>
      </c>
      <c r="D35" s="64">
        <f>600.3</f>
        <v>600.3</v>
      </c>
      <c r="E35" s="64">
        <f>D35+SUM(F35:R35)</f>
        <v>600.3</v>
      </c>
      <c r="F35" s="64"/>
      <c r="G35" s="64"/>
      <c r="H35" s="65">
        <v>0</v>
      </c>
      <c r="I35" s="65"/>
      <c r="J35" s="64"/>
      <c r="K35" s="64"/>
      <c r="L35" s="64"/>
      <c r="M35" s="64"/>
      <c r="N35" s="64"/>
      <c r="O35" s="64"/>
      <c r="P35" s="64"/>
      <c r="Q35" s="64"/>
      <c r="R35" s="64"/>
    </row>
    <row r="36" spans="1:18" ht="12.75" hidden="1">
      <c r="A36" s="66"/>
      <c r="B36" s="41" t="s">
        <v>4</v>
      </c>
      <c r="C36" s="67" t="s">
        <v>5</v>
      </c>
      <c r="D36" s="64">
        <f>0.2</f>
        <v>0.2</v>
      </c>
      <c r="E36" s="64">
        <f>D36+SUM(F36:R36)</f>
        <v>0.2</v>
      </c>
      <c r="F36" s="74"/>
      <c r="G36" s="64"/>
      <c r="H36" s="65"/>
      <c r="I36" s="65"/>
      <c r="J36" s="64"/>
      <c r="K36" s="64"/>
      <c r="L36" s="64"/>
      <c r="M36" s="64"/>
      <c r="N36" s="64"/>
      <c r="O36" s="64"/>
      <c r="P36" s="64"/>
      <c r="Q36" s="64"/>
      <c r="R36" s="64">
        <f>R37</f>
        <v>0</v>
      </c>
    </row>
    <row r="37" spans="1:18" ht="19.5" customHeight="1">
      <c r="A37" s="82" t="s">
        <v>182</v>
      </c>
      <c r="B37" s="41"/>
      <c r="C37" s="61" t="s">
        <v>112</v>
      </c>
      <c r="D37" s="68">
        <f>D38+D41</f>
        <v>500</v>
      </c>
      <c r="E37" s="68">
        <f aca="true" t="shared" si="17" ref="E37:M37">E38+E41</f>
        <v>47.39999999999998</v>
      </c>
      <c r="F37" s="68">
        <f t="shared" si="17"/>
        <v>0</v>
      </c>
      <c r="G37" s="68">
        <f t="shared" si="17"/>
        <v>0</v>
      </c>
      <c r="H37" s="68">
        <f t="shared" si="17"/>
        <v>0</v>
      </c>
      <c r="I37" s="68">
        <f t="shared" si="17"/>
        <v>0</v>
      </c>
      <c r="J37" s="68">
        <f t="shared" si="17"/>
        <v>0</v>
      </c>
      <c r="K37" s="68">
        <f t="shared" si="17"/>
        <v>0</v>
      </c>
      <c r="L37" s="68">
        <f t="shared" si="17"/>
        <v>0</v>
      </c>
      <c r="M37" s="68">
        <f t="shared" si="17"/>
        <v>0</v>
      </c>
      <c r="N37" s="68">
        <f aca="true" t="shared" si="18" ref="E37:R39">N38</f>
        <v>0</v>
      </c>
      <c r="O37" s="68">
        <f t="shared" si="18"/>
        <v>0</v>
      </c>
      <c r="P37" s="68">
        <f t="shared" si="18"/>
        <v>0</v>
      </c>
      <c r="Q37" s="68">
        <f t="shared" si="18"/>
        <v>-452.6</v>
      </c>
      <c r="R37" s="68">
        <f t="shared" si="18"/>
        <v>0</v>
      </c>
    </row>
    <row r="38" spans="1:18" ht="25.5">
      <c r="A38" s="66" t="s">
        <v>183</v>
      </c>
      <c r="B38" s="41"/>
      <c r="C38" s="57" t="s">
        <v>185</v>
      </c>
      <c r="D38" s="68">
        <f>D39</f>
        <v>500</v>
      </c>
      <c r="E38" s="68">
        <f t="shared" si="18"/>
        <v>47.39999999999998</v>
      </c>
      <c r="F38" s="68">
        <f t="shared" si="18"/>
        <v>0</v>
      </c>
      <c r="G38" s="68">
        <f t="shared" si="18"/>
        <v>0</v>
      </c>
      <c r="H38" s="68">
        <f t="shared" si="18"/>
        <v>0</v>
      </c>
      <c r="I38" s="68">
        <f t="shared" si="18"/>
        <v>0</v>
      </c>
      <c r="J38" s="68">
        <f t="shared" si="18"/>
        <v>0</v>
      </c>
      <c r="K38" s="68">
        <f t="shared" si="18"/>
        <v>0</v>
      </c>
      <c r="L38" s="68">
        <f t="shared" si="18"/>
        <v>0</v>
      </c>
      <c r="M38" s="68">
        <f t="shared" si="18"/>
        <v>0</v>
      </c>
      <c r="N38" s="68">
        <f t="shared" si="18"/>
        <v>0</v>
      </c>
      <c r="O38" s="68">
        <f t="shared" si="18"/>
        <v>0</v>
      </c>
      <c r="P38" s="68">
        <f t="shared" si="18"/>
        <v>0</v>
      </c>
      <c r="Q38" s="68">
        <f t="shared" si="18"/>
        <v>-452.6</v>
      </c>
      <c r="R38" s="68">
        <f t="shared" si="18"/>
        <v>0</v>
      </c>
    </row>
    <row r="39" spans="1:18" ht="25.5">
      <c r="A39" s="106" t="s">
        <v>184</v>
      </c>
      <c r="B39" s="41"/>
      <c r="C39" s="57" t="s">
        <v>153</v>
      </c>
      <c r="D39" s="68">
        <f>D40</f>
        <v>500</v>
      </c>
      <c r="E39" s="68">
        <f t="shared" si="18"/>
        <v>47.39999999999998</v>
      </c>
      <c r="F39" s="68">
        <f t="shared" si="18"/>
        <v>0</v>
      </c>
      <c r="G39" s="68">
        <f t="shared" si="18"/>
        <v>0</v>
      </c>
      <c r="H39" s="68">
        <f t="shared" si="18"/>
        <v>0</v>
      </c>
      <c r="I39" s="68">
        <f t="shared" si="18"/>
        <v>0</v>
      </c>
      <c r="J39" s="68">
        <f t="shared" si="18"/>
        <v>0</v>
      </c>
      <c r="K39" s="68">
        <f t="shared" si="18"/>
        <v>0</v>
      </c>
      <c r="L39" s="68">
        <f t="shared" si="18"/>
        <v>0</v>
      </c>
      <c r="M39" s="68">
        <f t="shared" si="18"/>
        <v>0</v>
      </c>
      <c r="N39" s="68">
        <f t="shared" si="18"/>
        <v>0</v>
      </c>
      <c r="O39" s="68">
        <f t="shared" si="18"/>
        <v>0</v>
      </c>
      <c r="P39" s="68">
        <f t="shared" si="18"/>
        <v>0</v>
      </c>
      <c r="Q39" s="68">
        <f t="shared" si="18"/>
        <v>-452.6</v>
      </c>
      <c r="R39" s="68">
        <f t="shared" si="18"/>
        <v>0</v>
      </c>
    </row>
    <row r="40" spans="1:18" ht="25.5">
      <c r="A40" s="66"/>
      <c r="B40" s="41" t="s">
        <v>3</v>
      </c>
      <c r="C40" s="67" t="s">
        <v>95</v>
      </c>
      <c r="D40" s="68">
        <f>500</f>
        <v>500</v>
      </c>
      <c r="E40" s="64">
        <f>D40+SUM(F40:R40)</f>
        <v>47.39999999999998</v>
      </c>
      <c r="F40" s="68"/>
      <c r="G40" s="68"/>
      <c r="H40" s="69"/>
      <c r="I40" s="69"/>
      <c r="J40" s="68"/>
      <c r="K40" s="68"/>
      <c r="L40" s="68"/>
      <c r="M40" s="68"/>
      <c r="N40" s="68"/>
      <c r="O40" s="68"/>
      <c r="P40" s="68"/>
      <c r="Q40" s="68">
        <v>-452.6</v>
      </c>
      <c r="R40" s="68"/>
    </row>
    <row r="41" spans="1:18" ht="39.75" customHeight="1" hidden="1">
      <c r="A41" s="66" t="s">
        <v>481</v>
      </c>
      <c r="B41" s="41"/>
      <c r="C41" s="67" t="s">
        <v>483</v>
      </c>
      <c r="D41" s="68">
        <f>D42</f>
        <v>0</v>
      </c>
      <c r="E41" s="68">
        <f aca="true" t="shared" si="19" ref="E41:M42">E42</f>
        <v>0</v>
      </c>
      <c r="F41" s="68">
        <f t="shared" si="19"/>
        <v>0</v>
      </c>
      <c r="G41" s="68">
        <f t="shared" si="19"/>
        <v>0</v>
      </c>
      <c r="H41" s="68">
        <f t="shared" si="19"/>
        <v>0</v>
      </c>
      <c r="I41" s="68">
        <f t="shared" si="19"/>
        <v>0</v>
      </c>
      <c r="J41" s="68">
        <f t="shared" si="19"/>
        <v>0</v>
      </c>
      <c r="K41" s="68">
        <f t="shared" si="19"/>
        <v>0</v>
      </c>
      <c r="L41" s="68">
        <f t="shared" si="19"/>
        <v>0</v>
      </c>
      <c r="M41" s="68">
        <f t="shared" si="19"/>
        <v>0</v>
      </c>
      <c r="N41" s="68"/>
      <c r="O41" s="68"/>
      <c r="P41" s="68"/>
      <c r="Q41" s="68"/>
      <c r="R41" s="68"/>
    </row>
    <row r="42" spans="1:18" ht="25.5" hidden="1">
      <c r="A42" s="66" t="s">
        <v>482</v>
      </c>
      <c r="B42" s="41"/>
      <c r="C42" s="67" t="s">
        <v>484</v>
      </c>
      <c r="D42" s="68">
        <f>D43</f>
        <v>0</v>
      </c>
      <c r="E42" s="68">
        <f t="shared" si="19"/>
        <v>0</v>
      </c>
      <c r="F42" s="68">
        <f t="shared" si="19"/>
        <v>0</v>
      </c>
      <c r="G42" s="68">
        <f t="shared" si="19"/>
        <v>0</v>
      </c>
      <c r="H42" s="68">
        <f t="shared" si="19"/>
        <v>0</v>
      </c>
      <c r="I42" s="68">
        <f t="shared" si="19"/>
        <v>0</v>
      </c>
      <c r="J42" s="68">
        <f t="shared" si="19"/>
        <v>0</v>
      </c>
      <c r="K42" s="68">
        <f t="shared" si="19"/>
        <v>0</v>
      </c>
      <c r="L42" s="68">
        <f t="shared" si="19"/>
        <v>0</v>
      </c>
      <c r="M42" s="68">
        <f t="shared" si="19"/>
        <v>0</v>
      </c>
      <c r="N42" s="68"/>
      <c r="O42" s="68"/>
      <c r="P42" s="68"/>
      <c r="Q42" s="68"/>
      <c r="R42" s="68"/>
    </row>
    <row r="43" spans="1:18" ht="25.5" hidden="1">
      <c r="A43" s="66"/>
      <c r="B43" s="41" t="s">
        <v>3</v>
      </c>
      <c r="C43" s="67" t="s">
        <v>95</v>
      </c>
      <c r="D43" s="68"/>
      <c r="E43" s="64">
        <f>D43+SUM(F43:R43)</f>
        <v>0</v>
      </c>
      <c r="F43" s="68"/>
      <c r="G43" s="68"/>
      <c r="H43" s="69"/>
      <c r="I43" s="69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51" hidden="1">
      <c r="A44" s="63" t="s">
        <v>192</v>
      </c>
      <c r="B44" s="11"/>
      <c r="C44" s="60" t="s">
        <v>113</v>
      </c>
      <c r="D44" s="71">
        <f>D45+D48</f>
        <v>0</v>
      </c>
      <c r="E44" s="71">
        <f aca="true" t="shared" si="20" ref="E44:R44">E45+E48</f>
        <v>0</v>
      </c>
      <c r="F44" s="71">
        <f t="shared" si="20"/>
        <v>0</v>
      </c>
      <c r="G44" s="71">
        <f t="shared" si="20"/>
        <v>0</v>
      </c>
      <c r="H44" s="71">
        <f t="shared" si="20"/>
        <v>0</v>
      </c>
      <c r="I44" s="71">
        <f t="shared" si="20"/>
        <v>0</v>
      </c>
      <c r="J44" s="71">
        <f t="shared" si="20"/>
        <v>0</v>
      </c>
      <c r="K44" s="71">
        <f t="shared" si="20"/>
        <v>0</v>
      </c>
      <c r="L44" s="71">
        <f t="shared" si="20"/>
        <v>0</v>
      </c>
      <c r="M44" s="71">
        <f t="shared" si="20"/>
        <v>0</v>
      </c>
      <c r="N44" s="71">
        <f t="shared" si="20"/>
        <v>0</v>
      </c>
      <c r="O44" s="71">
        <f t="shared" si="20"/>
        <v>0</v>
      </c>
      <c r="P44" s="71">
        <f>P45+P48</f>
        <v>0</v>
      </c>
      <c r="Q44" s="71">
        <f>Q45+Q48</f>
        <v>0</v>
      </c>
      <c r="R44" s="71">
        <f t="shared" si="20"/>
        <v>0</v>
      </c>
    </row>
    <row r="45" spans="1:18" ht="51" hidden="1">
      <c r="A45" s="82" t="s">
        <v>193</v>
      </c>
      <c r="B45" s="41"/>
      <c r="C45" s="61" t="s">
        <v>195</v>
      </c>
      <c r="D45" s="64">
        <f>D46</f>
        <v>0</v>
      </c>
      <c r="E45" s="64">
        <f aca="true" t="shared" si="21" ref="E45:R46">E46</f>
        <v>0</v>
      </c>
      <c r="F45" s="64">
        <f t="shared" si="21"/>
        <v>0</v>
      </c>
      <c r="G45" s="64">
        <f t="shared" si="21"/>
        <v>0</v>
      </c>
      <c r="H45" s="64">
        <f t="shared" si="21"/>
        <v>0</v>
      </c>
      <c r="I45" s="64">
        <f t="shared" si="21"/>
        <v>0</v>
      </c>
      <c r="J45" s="64">
        <f t="shared" si="21"/>
        <v>0</v>
      </c>
      <c r="K45" s="64">
        <f t="shared" si="21"/>
        <v>0</v>
      </c>
      <c r="L45" s="64">
        <f t="shared" si="21"/>
        <v>0</v>
      </c>
      <c r="M45" s="64">
        <f t="shared" si="21"/>
        <v>0</v>
      </c>
      <c r="N45" s="64">
        <f t="shared" si="21"/>
        <v>0</v>
      </c>
      <c r="O45" s="64">
        <f t="shared" si="21"/>
        <v>0</v>
      </c>
      <c r="P45" s="64">
        <f t="shared" si="21"/>
        <v>0</v>
      </c>
      <c r="Q45" s="64">
        <f t="shared" si="21"/>
        <v>0</v>
      </c>
      <c r="R45" s="64">
        <f t="shared" si="21"/>
        <v>0</v>
      </c>
    </row>
    <row r="46" spans="1:18" ht="25.5" hidden="1">
      <c r="A46" s="66" t="s">
        <v>194</v>
      </c>
      <c r="B46" s="41"/>
      <c r="C46" s="57" t="s">
        <v>196</v>
      </c>
      <c r="D46" s="64">
        <f>D47</f>
        <v>0</v>
      </c>
      <c r="E46" s="64">
        <f t="shared" si="21"/>
        <v>0</v>
      </c>
      <c r="F46" s="64">
        <f t="shared" si="21"/>
        <v>0</v>
      </c>
      <c r="G46" s="64">
        <f t="shared" si="21"/>
        <v>0</v>
      </c>
      <c r="H46" s="64">
        <f t="shared" si="21"/>
        <v>0</v>
      </c>
      <c r="I46" s="64">
        <f t="shared" si="21"/>
        <v>0</v>
      </c>
      <c r="J46" s="64">
        <f t="shared" si="21"/>
        <v>0</v>
      </c>
      <c r="K46" s="64">
        <f t="shared" si="21"/>
        <v>0</v>
      </c>
      <c r="L46" s="64">
        <f t="shared" si="21"/>
        <v>0</v>
      </c>
      <c r="M46" s="64">
        <f t="shared" si="21"/>
        <v>0</v>
      </c>
      <c r="N46" s="64">
        <f t="shared" si="21"/>
        <v>0</v>
      </c>
      <c r="O46" s="64">
        <f t="shared" si="21"/>
        <v>0</v>
      </c>
      <c r="P46" s="64">
        <f t="shared" si="21"/>
        <v>0</v>
      </c>
      <c r="Q46" s="64">
        <f t="shared" si="21"/>
        <v>0</v>
      </c>
      <c r="R46" s="64">
        <f t="shared" si="21"/>
        <v>0</v>
      </c>
    </row>
    <row r="47" spans="1:18" ht="25.5" hidden="1">
      <c r="A47" s="66"/>
      <c r="B47" s="41" t="s">
        <v>11</v>
      </c>
      <c r="C47" s="67" t="s">
        <v>12</v>
      </c>
      <c r="D47" s="64"/>
      <c r="E47" s="64">
        <f>D47+SUM(F47:R47)</f>
        <v>0</v>
      </c>
      <c r="F47" s="64"/>
      <c r="G47" s="64"/>
      <c r="H47" s="65"/>
      <c r="I47" s="65"/>
      <c r="J47" s="64"/>
      <c r="K47" s="64"/>
      <c r="L47" s="64"/>
      <c r="M47" s="64"/>
      <c r="N47" s="64"/>
      <c r="O47" s="64"/>
      <c r="P47" s="64"/>
      <c r="Q47" s="64"/>
      <c r="R47" s="64">
        <f>R48</f>
        <v>0</v>
      </c>
    </row>
    <row r="48" spans="1:18" ht="38.25" hidden="1">
      <c r="A48" s="82" t="s">
        <v>197</v>
      </c>
      <c r="B48" s="41"/>
      <c r="C48" s="61" t="s">
        <v>198</v>
      </c>
      <c r="D48" s="68">
        <f>D49</f>
        <v>0</v>
      </c>
      <c r="E48" s="68">
        <f aca="true" t="shared" si="22" ref="E48:Q49">E49</f>
        <v>0</v>
      </c>
      <c r="F48" s="68">
        <f t="shared" si="22"/>
        <v>0</v>
      </c>
      <c r="G48" s="68">
        <f t="shared" si="22"/>
        <v>0</v>
      </c>
      <c r="H48" s="68">
        <f t="shared" si="22"/>
        <v>0</v>
      </c>
      <c r="I48" s="68">
        <f t="shared" si="22"/>
        <v>0</v>
      </c>
      <c r="J48" s="68">
        <f t="shared" si="22"/>
        <v>0</v>
      </c>
      <c r="K48" s="68">
        <f t="shared" si="22"/>
        <v>0</v>
      </c>
      <c r="L48" s="68">
        <f t="shared" si="22"/>
        <v>0</v>
      </c>
      <c r="M48" s="68">
        <f t="shared" si="22"/>
        <v>0</v>
      </c>
      <c r="N48" s="68">
        <f t="shared" si="22"/>
        <v>0</v>
      </c>
      <c r="O48" s="68">
        <f t="shared" si="22"/>
        <v>0</v>
      </c>
      <c r="P48" s="68">
        <f t="shared" si="22"/>
        <v>0</v>
      </c>
      <c r="Q48" s="68">
        <f t="shared" si="22"/>
        <v>0</v>
      </c>
      <c r="R48" s="68">
        <f>R49</f>
        <v>0</v>
      </c>
    </row>
    <row r="49" spans="1:18" ht="41.25" customHeight="1" hidden="1">
      <c r="A49" s="66" t="s">
        <v>334</v>
      </c>
      <c r="B49" s="41"/>
      <c r="C49" s="57" t="s">
        <v>199</v>
      </c>
      <c r="D49" s="68">
        <f>D50</f>
        <v>0</v>
      </c>
      <c r="E49" s="68">
        <f t="shared" si="22"/>
        <v>0</v>
      </c>
      <c r="F49" s="68">
        <f t="shared" si="22"/>
        <v>0</v>
      </c>
      <c r="G49" s="68">
        <f t="shared" si="22"/>
        <v>0</v>
      </c>
      <c r="H49" s="68">
        <f t="shared" si="22"/>
        <v>0</v>
      </c>
      <c r="I49" s="68">
        <f t="shared" si="22"/>
        <v>0</v>
      </c>
      <c r="J49" s="68">
        <f t="shared" si="22"/>
        <v>0</v>
      </c>
      <c r="K49" s="68">
        <f t="shared" si="22"/>
        <v>0</v>
      </c>
      <c r="L49" s="68">
        <f t="shared" si="22"/>
        <v>0</v>
      </c>
      <c r="M49" s="68">
        <f t="shared" si="22"/>
        <v>0</v>
      </c>
      <c r="N49" s="68">
        <f t="shared" si="22"/>
        <v>0</v>
      </c>
      <c r="O49" s="68">
        <f t="shared" si="22"/>
        <v>0</v>
      </c>
      <c r="P49" s="68">
        <f t="shared" si="22"/>
        <v>0</v>
      </c>
      <c r="Q49" s="68">
        <f t="shared" si="22"/>
        <v>0</v>
      </c>
      <c r="R49" s="68">
        <f>R50</f>
        <v>0</v>
      </c>
    </row>
    <row r="50" spans="1:18" ht="25.5" hidden="1">
      <c r="A50" s="66"/>
      <c r="B50" s="41" t="s">
        <v>3</v>
      </c>
      <c r="C50" s="67" t="s">
        <v>95</v>
      </c>
      <c r="D50" s="68"/>
      <c r="E50" s="64">
        <f>D50+SUM(F50:R50)</f>
        <v>0</v>
      </c>
      <c r="F50" s="68"/>
      <c r="G50" s="68"/>
      <c r="H50" s="69"/>
      <c r="I50" s="69"/>
      <c r="J50" s="68"/>
      <c r="K50" s="68"/>
      <c r="L50" s="68"/>
      <c r="M50" s="68"/>
      <c r="N50" s="68"/>
      <c r="O50" s="68"/>
      <c r="P50" s="68"/>
      <c r="Q50" s="68"/>
      <c r="R50" s="68"/>
    </row>
    <row r="51" spans="1:18" ht="38.25">
      <c r="A51" s="63" t="s">
        <v>200</v>
      </c>
      <c r="B51" s="11"/>
      <c r="C51" s="60" t="s">
        <v>114</v>
      </c>
      <c r="D51" s="73">
        <f>D52+D58+D71+D77+D81</f>
        <v>2195.4</v>
      </c>
      <c r="E51" s="73">
        <f aca="true" t="shared" si="23" ref="E51:R51">E52+E58+E71+E77+E81</f>
        <v>2465.2</v>
      </c>
      <c r="F51" s="73">
        <f t="shared" si="23"/>
        <v>0</v>
      </c>
      <c r="G51" s="73">
        <f t="shared" si="23"/>
        <v>0</v>
      </c>
      <c r="H51" s="73">
        <f t="shared" si="23"/>
        <v>0</v>
      </c>
      <c r="I51" s="73">
        <f t="shared" si="23"/>
        <v>0</v>
      </c>
      <c r="J51" s="73">
        <f t="shared" si="23"/>
        <v>0</v>
      </c>
      <c r="K51" s="73">
        <f t="shared" si="23"/>
        <v>96</v>
      </c>
      <c r="L51" s="73">
        <f t="shared" si="23"/>
        <v>0</v>
      </c>
      <c r="M51" s="73">
        <f t="shared" si="23"/>
        <v>0</v>
      </c>
      <c r="N51" s="73">
        <f t="shared" si="23"/>
        <v>269.8</v>
      </c>
      <c r="O51" s="73">
        <f t="shared" si="23"/>
        <v>0</v>
      </c>
      <c r="P51" s="73">
        <f>P52+P58+P71+P77+P81</f>
        <v>0</v>
      </c>
      <c r="Q51" s="73">
        <f>Q52+Q58+Q71+Q77+Q81</f>
        <v>-96</v>
      </c>
      <c r="R51" s="73">
        <f t="shared" si="23"/>
        <v>0</v>
      </c>
    </row>
    <row r="52" spans="1:18" ht="51">
      <c r="A52" s="82" t="s">
        <v>201</v>
      </c>
      <c r="B52" s="41"/>
      <c r="C52" s="61" t="s">
        <v>515</v>
      </c>
      <c r="D52" s="68">
        <f>D53</f>
        <v>1303.9</v>
      </c>
      <c r="E52" s="68">
        <f aca="true" t="shared" si="24" ref="E52:R52">E53</f>
        <v>1302.9</v>
      </c>
      <c r="F52" s="68">
        <f t="shared" si="24"/>
        <v>0</v>
      </c>
      <c r="G52" s="68">
        <f t="shared" si="24"/>
        <v>0</v>
      </c>
      <c r="H52" s="68">
        <f t="shared" si="24"/>
        <v>0</v>
      </c>
      <c r="I52" s="68">
        <f t="shared" si="24"/>
        <v>0</v>
      </c>
      <c r="J52" s="68">
        <f t="shared" si="24"/>
        <v>0</v>
      </c>
      <c r="K52" s="68">
        <f t="shared" si="24"/>
        <v>96</v>
      </c>
      <c r="L52" s="68">
        <f t="shared" si="24"/>
        <v>0</v>
      </c>
      <c r="M52" s="68">
        <f t="shared" si="24"/>
        <v>0</v>
      </c>
      <c r="N52" s="68">
        <f t="shared" si="24"/>
        <v>-1</v>
      </c>
      <c r="O52" s="68">
        <f t="shared" si="24"/>
        <v>0</v>
      </c>
      <c r="P52" s="68">
        <f t="shared" si="24"/>
        <v>0</v>
      </c>
      <c r="Q52" s="68">
        <f t="shared" si="24"/>
        <v>-96</v>
      </c>
      <c r="R52" s="68">
        <f t="shared" si="24"/>
        <v>0</v>
      </c>
    </row>
    <row r="53" spans="1:18" ht="51">
      <c r="A53" s="66" t="s">
        <v>202</v>
      </c>
      <c r="B53" s="41"/>
      <c r="C53" s="57" t="s">
        <v>203</v>
      </c>
      <c r="D53" s="68">
        <f>D54+D56</f>
        <v>1303.9</v>
      </c>
      <c r="E53" s="68">
        <f aca="true" t="shared" si="25" ref="E53:R53">E54+E56</f>
        <v>1302.9</v>
      </c>
      <c r="F53" s="68">
        <f t="shared" si="25"/>
        <v>0</v>
      </c>
      <c r="G53" s="68">
        <f t="shared" si="25"/>
        <v>0</v>
      </c>
      <c r="H53" s="68">
        <f t="shared" si="25"/>
        <v>0</v>
      </c>
      <c r="I53" s="68">
        <f t="shared" si="25"/>
        <v>0</v>
      </c>
      <c r="J53" s="68">
        <f t="shared" si="25"/>
        <v>0</v>
      </c>
      <c r="K53" s="68">
        <f t="shared" si="25"/>
        <v>96</v>
      </c>
      <c r="L53" s="68">
        <f t="shared" si="25"/>
        <v>0</v>
      </c>
      <c r="M53" s="68">
        <f t="shared" si="25"/>
        <v>0</v>
      </c>
      <c r="N53" s="68">
        <f t="shared" si="25"/>
        <v>-1</v>
      </c>
      <c r="O53" s="68">
        <f t="shared" si="25"/>
        <v>0</v>
      </c>
      <c r="P53" s="68">
        <f>P54+P56</f>
        <v>0</v>
      </c>
      <c r="Q53" s="68">
        <f>Q54+Q56</f>
        <v>-96</v>
      </c>
      <c r="R53" s="68">
        <f t="shared" si="25"/>
        <v>0</v>
      </c>
    </row>
    <row r="54" spans="1:18" ht="38.25" hidden="1">
      <c r="A54" s="66" t="s">
        <v>204</v>
      </c>
      <c r="B54" s="41"/>
      <c r="C54" s="57" t="s">
        <v>205</v>
      </c>
      <c r="D54" s="68">
        <f>D55</f>
        <v>3.9</v>
      </c>
      <c r="E54" s="68">
        <f aca="true" t="shared" si="26" ref="E54:R54">E55</f>
        <v>2.9</v>
      </c>
      <c r="F54" s="68">
        <f t="shared" si="26"/>
        <v>0</v>
      </c>
      <c r="G54" s="68">
        <f t="shared" si="26"/>
        <v>0</v>
      </c>
      <c r="H54" s="68">
        <f t="shared" si="26"/>
        <v>0</v>
      </c>
      <c r="I54" s="68">
        <f t="shared" si="26"/>
        <v>0</v>
      </c>
      <c r="J54" s="68">
        <f t="shared" si="26"/>
        <v>0</v>
      </c>
      <c r="K54" s="68">
        <f t="shared" si="26"/>
        <v>0</v>
      </c>
      <c r="L54" s="68">
        <f t="shared" si="26"/>
        <v>0</v>
      </c>
      <c r="M54" s="68">
        <f t="shared" si="26"/>
        <v>0</v>
      </c>
      <c r="N54" s="68">
        <f t="shared" si="26"/>
        <v>-1</v>
      </c>
      <c r="O54" s="68">
        <f t="shared" si="26"/>
        <v>0</v>
      </c>
      <c r="P54" s="68">
        <f t="shared" si="26"/>
        <v>0</v>
      </c>
      <c r="Q54" s="68">
        <f t="shared" si="26"/>
        <v>0</v>
      </c>
      <c r="R54" s="68">
        <f t="shared" si="26"/>
        <v>0</v>
      </c>
    </row>
    <row r="55" spans="1:18" ht="25.5" hidden="1">
      <c r="A55" s="66"/>
      <c r="B55" s="41" t="s">
        <v>3</v>
      </c>
      <c r="C55" s="67" t="s">
        <v>95</v>
      </c>
      <c r="D55" s="68">
        <v>3.9</v>
      </c>
      <c r="E55" s="64">
        <f>D55+SUM(F55:R55)</f>
        <v>2.9</v>
      </c>
      <c r="F55" s="68"/>
      <c r="G55" s="68"/>
      <c r="H55" s="69"/>
      <c r="I55" s="69"/>
      <c r="J55" s="68"/>
      <c r="K55" s="68"/>
      <c r="L55" s="68"/>
      <c r="M55" s="68"/>
      <c r="N55" s="68">
        <v>-1</v>
      </c>
      <c r="O55" s="68"/>
      <c r="P55" s="68"/>
      <c r="Q55" s="68"/>
      <c r="R55" s="68"/>
    </row>
    <row r="56" spans="1:18" ht="81.75" customHeight="1">
      <c r="A56" s="66" t="s">
        <v>492</v>
      </c>
      <c r="B56" s="41"/>
      <c r="C56" s="57" t="s">
        <v>493</v>
      </c>
      <c r="D56" s="68">
        <f>D57</f>
        <v>1300</v>
      </c>
      <c r="E56" s="68">
        <f aca="true" t="shared" si="27" ref="E56:R56">E57</f>
        <v>1300</v>
      </c>
      <c r="F56" s="68">
        <f t="shared" si="27"/>
        <v>0</v>
      </c>
      <c r="G56" s="68">
        <f t="shared" si="27"/>
        <v>0</v>
      </c>
      <c r="H56" s="68">
        <f t="shared" si="27"/>
        <v>0</v>
      </c>
      <c r="I56" s="68">
        <f t="shared" si="27"/>
        <v>0</v>
      </c>
      <c r="J56" s="68">
        <f t="shared" si="27"/>
        <v>0</v>
      </c>
      <c r="K56" s="68">
        <f t="shared" si="27"/>
        <v>96</v>
      </c>
      <c r="L56" s="68">
        <f t="shared" si="27"/>
        <v>0</v>
      </c>
      <c r="M56" s="68">
        <f t="shared" si="27"/>
        <v>0</v>
      </c>
      <c r="N56" s="68">
        <f t="shared" si="27"/>
        <v>0</v>
      </c>
      <c r="O56" s="68">
        <f t="shared" si="27"/>
        <v>0</v>
      </c>
      <c r="P56" s="68">
        <f t="shared" si="27"/>
        <v>0</v>
      </c>
      <c r="Q56" s="68">
        <f t="shared" si="27"/>
        <v>-96</v>
      </c>
      <c r="R56" s="68">
        <f t="shared" si="27"/>
        <v>0</v>
      </c>
    </row>
    <row r="57" spans="1:18" ht="12.75">
      <c r="A57" s="66"/>
      <c r="B57" s="41" t="s">
        <v>9</v>
      </c>
      <c r="C57" s="109" t="s">
        <v>37</v>
      </c>
      <c r="D57" s="68">
        <v>1300</v>
      </c>
      <c r="E57" s="64">
        <f>D57+SUM(F57:R57)</f>
        <v>1300</v>
      </c>
      <c r="F57" s="68"/>
      <c r="G57" s="68"/>
      <c r="H57" s="69"/>
      <c r="I57" s="69"/>
      <c r="J57" s="68"/>
      <c r="K57" s="68">
        <f>96</f>
        <v>96</v>
      </c>
      <c r="L57" s="68"/>
      <c r="M57" s="68"/>
      <c r="N57" s="68"/>
      <c r="O57" s="68"/>
      <c r="P57" s="68"/>
      <c r="Q57" s="68">
        <v>-96</v>
      </c>
      <c r="R57" s="68"/>
    </row>
    <row r="58" spans="1:18" ht="25.5" hidden="1">
      <c r="A58" s="82" t="s">
        <v>214</v>
      </c>
      <c r="B58" s="41"/>
      <c r="C58" s="61" t="s">
        <v>115</v>
      </c>
      <c r="D58" s="68">
        <f>D59+D62+D65+D68</f>
        <v>703</v>
      </c>
      <c r="E58" s="68">
        <f aca="true" t="shared" si="28" ref="E58:R58">E59+E62+E65+E68</f>
        <v>590</v>
      </c>
      <c r="F58" s="68">
        <f t="shared" si="28"/>
        <v>0</v>
      </c>
      <c r="G58" s="68">
        <f t="shared" si="28"/>
        <v>0</v>
      </c>
      <c r="H58" s="68">
        <f t="shared" si="28"/>
        <v>0</v>
      </c>
      <c r="I58" s="68">
        <f t="shared" si="28"/>
        <v>0</v>
      </c>
      <c r="J58" s="68">
        <f t="shared" si="28"/>
        <v>0</v>
      </c>
      <c r="K58" s="68">
        <f t="shared" si="28"/>
        <v>0</v>
      </c>
      <c r="L58" s="68">
        <f t="shared" si="28"/>
        <v>0</v>
      </c>
      <c r="M58" s="68">
        <f t="shared" si="28"/>
        <v>0</v>
      </c>
      <c r="N58" s="68">
        <f t="shared" si="28"/>
        <v>-113</v>
      </c>
      <c r="O58" s="68">
        <f t="shared" si="28"/>
        <v>0</v>
      </c>
      <c r="P58" s="68">
        <f>P59+P62+P65+P68</f>
        <v>0</v>
      </c>
      <c r="Q58" s="68">
        <f>Q59+Q62+Q65+Q68</f>
        <v>0</v>
      </c>
      <c r="R58" s="68">
        <f t="shared" si="28"/>
        <v>0</v>
      </c>
    </row>
    <row r="59" spans="1:18" ht="38.25" hidden="1">
      <c r="A59" s="41" t="s">
        <v>215</v>
      </c>
      <c r="B59" s="41"/>
      <c r="C59" s="57" t="s">
        <v>217</v>
      </c>
      <c r="D59" s="68">
        <f>D60</f>
        <v>303</v>
      </c>
      <c r="E59" s="68">
        <f aca="true" t="shared" si="29" ref="E59:R60">E60</f>
        <v>343</v>
      </c>
      <c r="F59" s="68">
        <f t="shared" si="29"/>
        <v>0</v>
      </c>
      <c r="G59" s="68">
        <f t="shared" si="29"/>
        <v>0</v>
      </c>
      <c r="H59" s="68">
        <f t="shared" si="29"/>
        <v>0</v>
      </c>
      <c r="I59" s="68">
        <f t="shared" si="29"/>
        <v>0</v>
      </c>
      <c r="J59" s="68">
        <f t="shared" si="29"/>
        <v>0</v>
      </c>
      <c r="K59" s="68">
        <f t="shared" si="29"/>
        <v>0</v>
      </c>
      <c r="L59" s="68">
        <f t="shared" si="29"/>
        <v>0</v>
      </c>
      <c r="M59" s="68">
        <f t="shared" si="29"/>
        <v>0</v>
      </c>
      <c r="N59" s="68">
        <f t="shared" si="29"/>
        <v>40</v>
      </c>
      <c r="O59" s="68">
        <f t="shared" si="29"/>
        <v>0</v>
      </c>
      <c r="P59" s="68">
        <f t="shared" si="29"/>
        <v>0</v>
      </c>
      <c r="Q59" s="68">
        <f t="shared" si="29"/>
        <v>0</v>
      </c>
      <c r="R59" s="68">
        <f t="shared" si="29"/>
        <v>0</v>
      </c>
    </row>
    <row r="60" spans="1:18" ht="12.75" hidden="1">
      <c r="A60" s="41" t="s">
        <v>216</v>
      </c>
      <c r="B60" s="41"/>
      <c r="C60" s="57" t="s">
        <v>218</v>
      </c>
      <c r="D60" s="68">
        <f>D61</f>
        <v>303</v>
      </c>
      <c r="E60" s="68">
        <f t="shared" si="29"/>
        <v>343</v>
      </c>
      <c r="F60" s="68">
        <f t="shared" si="29"/>
        <v>0</v>
      </c>
      <c r="G60" s="68">
        <f t="shared" si="29"/>
        <v>0</v>
      </c>
      <c r="H60" s="68">
        <f t="shared" si="29"/>
        <v>0</v>
      </c>
      <c r="I60" s="68">
        <f t="shared" si="29"/>
        <v>0</v>
      </c>
      <c r="J60" s="68">
        <f t="shared" si="29"/>
        <v>0</v>
      </c>
      <c r="K60" s="68">
        <f t="shared" si="29"/>
        <v>0</v>
      </c>
      <c r="L60" s="68">
        <f t="shared" si="29"/>
        <v>0</v>
      </c>
      <c r="M60" s="68">
        <f t="shared" si="29"/>
        <v>0</v>
      </c>
      <c r="N60" s="68">
        <f t="shared" si="29"/>
        <v>40</v>
      </c>
      <c r="O60" s="68">
        <f t="shared" si="29"/>
        <v>0</v>
      </c>
      <c r="P60" s="68">
        <f t="shared" si="29"/>
        <v>0</v>
      </c>
      <c r="Q60" s="68">
        <f t="shared" si="29"/>
        <v>0</v>
      </c>
      <c r="R60" s="68">
        <f t="shared" si="29"/>
        <v>0</v>
      </c>
    </row>
    <row r="61" spans="1:18" ht="25.5" hidden="1">
      <c r="A61" s="66"/>
      <c r="B61" s="41" t="s">
        <v>3</v>
      </c>
      <c r="C61" s="67" t="s">
        <v>95</v>
      </c>
      <c r="D61" s="68">
        <f>303</f>
        <v>303</v>
      </c>
      <c r="E61" s="64">
        <f>D61+SUM(F61:R61)</f>
        <v>343</v>
      </c>
      <c r="F61" s="68"/>
      <c r="G61" s="68"/>
      <c r="H61" s="69"/>
      <c r="I61" s="69"/>
      <c r="J61" s="68"/>
      <c r="K61" s="68"/>
      <c r="L61" s="68"/>
      <c r="M61" s="68"/>
      <c r="N61" s="68">
        <f>40</f>
        <v>40</v>
      </c>
      <c r="O61" s="68"/>
      <c r="P61" s="68"/>
      <c r="Q61" s="68"/>
      <c r="R61" s="68"/>
    </row>
    <row r="62" spans="1:18" ht="25.5" hidden="1">
      <c r="A62" s="66" t="s">
        <v>219</v>
      </c>
      <c r="B62" s="41"/>
      <c r="C62" s="57" t="s">
        <v>221</v>
      </c>
      <c r="D62" s="68">
        <f>D63</f>
        <v>80</v>
      </c>
      <c r="E62" s="68">
        <f aca="true" t="shared" si="30" ref="E62:R63">E63</f>
        <v>80</v>
      </c>
      <c r="F62" s="68">
        <f t="shared" si="30"/>
        <v>0</v>
      </c>
      <c r="G62" s="68">
        <f t="shared" si="30"/>
        <v>0</v>
      </c>
      <c r="H62" s="68">
        <f t="shared" si="30"/>
        <v>0</v>
      </c>
      <c r="I62" s="68">
        <f t="shared" si="30"/>
        <v>0</v>
      </c>
      <c r="J62" s="68">
        <f t="shared" si="30"/>
        <v>0</v>
      </c>
      <c r="K62" s="68">
        <f t="shared" si="30"/>
        <v>0</v>
      </c>
      <c r="L62" s="68">
        <f t="shared" si="30"/>
        <v>0</v>
      </c>
      <c r="M62" s="68">
        <f t="shared" si="30"/>
        <v>0</v>
      </c>
      <c r="N62" s="68">
        <f t="shared" si="30"/>
        <v>0</v>
      </c>
      <c r="O62" s="68">
        <f t="shared" si="30"/>
        <v>0</v>
      </c>
      <c r="P62" s="68">
        <f t="shared" si="30"/>
        <v>0</v>
      </c>
      <c r="Q62" s="68">
        <f t="shared" si="30"/>
        <v>0</v>
      </c>
      <c r="R62" s="68">
        <f t="shared" si="30"/>
        <v>0</v>
      </c>
    </row>
    <row r="63" spans="1:18" ht="12.75" hidden="1">
      <c r="A63" s="66" t="s">
        <v>220</v>
      </c>
      <c r="B63" s="41"/>
      <c r="C63" s="57" t="s">
        <v>218</v>
      </c>
      <c r="D63" s="68">
        <f>D64</f>
        <v>80</v>
      </c>
      <c r="E63" s="68">
        <f t="shared" si="30"/>
        <v>80</v>
      </c>
      <c r="F63" s="68">
        <f t="shared" si="30"/>
        <v>0</v>
      </c>
      <c r="G63" s="68">
        <f t="shared" si="30"/>
        <v>0</v>
      </c>
      <c r="H63" s="68">
        <f t="shared" si="30"/>
        <v>0</v>
      </c>
      <c r="I63" s="68">
        <f t="shared" si="30"/>
        <v>0</v>
      </c>
      <c r="J63" s="68">
        <f t="shared" si="30"/>
        <v>0</v>
      </c>
      <c r="K63" s="68">
        <f t="shared" si="30"/>
        <v>0</v>
      </c>
      <c r="L63" s="68">
        <f t="shared" si="30"/>
        <v>0</v>
      </c>
      <c r="M63" s="68">
        <f t="shared" si="30"/>
        <v>0</v>
      </c>
      <c r="N63" s="68">
        <f t="shared" si="30"/>
        <v>0</v>
      </c>
      <c r="O63" s="68">
        <f t="shared" si="30"/>
        <v>0</v>
      </c>
      <c r="P63" s="68">
        <f t="shared" si="30"/>
        <v>0</v>
      </c>
      <c r="Q63" s="68">
        <f t="shared" si="30"/>
        <v>0</v>
      </c>
      <c r="R63" s="68">
        <f t="shared" si="30"/>
        <v>0</v>
      </c>
    </row>
    <row r="64" spans="1:18" ht="25.5" hidden="1">
      <c r="A64" s="66"/>
      <c r="B64" s="41" t="s">
        <v>3</v>
      </c>
      <c r="C64" s="67" t="s">
        <v>95</v>
      </c>
      <c r="D64" s="68">
        <f>80</f>
        <v>80</v>
      </c>
      <c r="E64" s="64">
        <f>D64+SUM(F64:R64)</f>
        <v>80</v>
      </c>
      <c r="F64" s="68"/>
      <c r="G64" s="68"/>
      <c r="H64" s="69"/>
      <c r="I64" s="69"/>
      <c r="J64" s="68"/>
      <c r="K64" s="68"/>
      <c r="L64" s="68"/>
      <c r="M64" s="68"/>
      <c r="N64" s="68"/>
      <c r="O64" s="68"/>
      <c r="P64" s="68"/>
      <c r="Q64" s="68"/>
      <c r="R64" s="68"/>
    </row>
    <row r="65" spans="1:18" ht="38.25" hidden="1">
      <c r="A65" s="66" t="s">
        <v>226</v>
      </c>
      <c r="B65" s="41"/>
      <c r="C65" s="67" t="s">
        <v>516</v>
      </c>
      <c r="D65" s="68">
        <f>D66</f>
        <v>30</v>
      </c>
      <c r="E65" s="68">
        <f aca="true" t="shared" si="31" ref="E65:R66">E66</f>
        <v>30</v>
      </c>
      <c r="F65" s="68">
        <f t="shared" si="31"/>
        <v>0</v>
      </c>
      <c r="G65" s="68">
        <f t="shared" si="31"/>
        <v>0</v>
      </c>
      <c r="H65" s="68">
        <f t="shared" si="31"/>
        <v>0</v>
      </c>
      <c r="I65" s="68">
        <f t="shared" si="31"/>
        <v>0</v>
      </c>
      <c r="J65" s="68">
        <f t="shared" si="31"/>
        <v>0</v>
      </c>
      <c r="K65" s="68">
        <f t="shared" si="31"/>
        <v>0</v>
      </c>
      <c r="L65" s="68">
        <f t="shared" si="31"/>
        <v>0</v>
      </c>
      <c r="M65" s="68">
        <f t="shared" si="31"/>
        <v>0</v>
      </c>
      <c r="N65" s="68">
        <f t="shared" si="31"/>
        <v>0</v>
      </c>
      <c r="O65" s="68">
        <f t="shared" si="31"/>
        <v>0</v>
      </c>
      <c r="P65" s="68">
        <f t="shared" si="31"/>
        <v>0</v>
      </c>
      <c r="Q65" s="68">
        <f t="shared" si="31"/>
        <v>0</v>
      </c>
      <c r="R65" s="68">
        <f t="shared" si="31"/>
        <v>0</v>
      </c>
    </row>
    <row r="66" spans="1:18" ht="12.75" hidden="1">
      <c r="A66" s="66" t="s">
        <v>222</v>
      </c>
      <c r="B66" s="41"/>
      <c r="C66" s="57" t="s">
        <v>218</v>
      </c>
      <c r="D66" s="68">
        <f>D67</f>
        <v>30</v>
      </c>
      <c r="E66" s="68">
        <f t="shared" si="31"/>
        <v>30</v>
      </c>
      <c r="F66" s="68">
        <f t="shared" si="31"/>
        <v>0</v>
      </c>
      <c r="G66" s="68">
        <f t="shared" si="31"/>
        <v>0</v>
      </c>
      <c r="H66" s="68">
        <f t="shared" si="31"/>
        <v>0</v>
      </c>
      <c r="I66" s="68">
        <f t="shared" si="31"/>
        <v>0</v>
      </c>
      <c r="J66" s="68">
        <f t="shared" si="31"/>
        <v>0</v>
      </c>
      <c r="K66" s="68">
        <f t="shared" si="31"/>
        <v>0</v>
      </c>
      <c r="L66" s="68">
        <f t="shared" si="31"/>
        <v>0</v>
      </c>
      <c r="M66" s="68">
        <f t="shared" si="31"/>
        <v>0</v>
      </c>
      <c r="N66" s="68">
        <f t="shared" si="31"/>
        <v>0</v>
      </c>
      <c r="O66" s="68">
        <f t="shared" si="31"/>
        <v>0</v>
      </c>
      <c r="P66" s="68">
        <f t="shared" si="31"/>
        <v>0</v>
      </c>
      <c r="Q66" s="68">
        <f t="shared" si="31"/>
        <v>0</v>
      </c>
      <c r="R66" s="68">
        <f t="shared" si="31"/>
        <v>0</v>
      </c>
    </row>
    <row r="67" spans="1:18" ht="25.5" hidden="1">
      <c r="A67" s="66"/>
      <c r="B67" s="41" t="s">
        <v>3</v>
      </c>
      <c r="C67" s="67" t="s">
        <v>95</v>
      </c>
      <c r="D67" s="68">
        <f>30</f>
        <v>30</v>
      </c>
      <c r="E67" s="64">
        <f>D67+SUM(F67:R67)</f>
        <v>30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1:18" ht="30.75" customHeight="1" hidden="1">
      <c r="A68" s="66" t="s">
        <v>223</v>
      </c>
      <c r="B68" s="41"/>
      <c r="C68" s="57" t="s">
        <v>225</v>
      </c>
      <c r="D68" s="68">
        <f>D69</f>
        <v>290</v>
      </c>
      <c r="E68" s="68">
        <f aca="true" t="shared" si="32" ref="E68:R69">E69</f>
        <v>137</v>
      </c>
      <c r="F68" s="68">
        <f t="shared" si="32"/>
        <v>0</v>
      </c>
      <c r="G68" s="68">
        <f t="shared" si="32"/>
        <v>0</v>
      </c>
      <c r="H68" s="68">
        <f t="shared" si="32"/>
        <v>0</v>
      </c>
      <c r="I68" s="68">
        <f t="shared" si="32"/>
        <v>0</v>
      </c>
      <c r="J68" s="68">
        <f t="shared" si="32"/>
        <v>0</v>
      </c>
      <c r="K68" s="68">
        <f t="shared" si="32"/>
        <v>0</v>
      </c>
      <c r="L68" s="68">
        <f t="shared" si="32"/>
        <v>0</v>
      </c>
      <c r="M68" s="68">
        <f t="shared" si="32"/>
        <v>0</v>
      </c>
      <c r="N68" s="68">
        <f t="shared" si="32"/>
        <v>-153</v>
      </c>
      <c r="O68" s="68">
        <f t="shared" si="32"/>
        <v>0</v>
      </c>
      <c r="P68" s="68">
        <f t="shared" si="32"/>
        <v>0</v>
      </c>
      <c r="Q68" s="68">
        <f t="shared" si="32"/>
        <v>0</v>
      </c>
      <c r="R68" s="68">
        <f t="shared" si="32"/>
        <v>0</v>
      </c>
    </row>
    <row r="69" spans="1:18" ht="24.75" customHeight="1" hidden="1">
      <c r="A69" s="66" t="s">
        <v>224</v>
      </c>
      <c r="B69" s="41"/>
      <c r="C69" s="57" t="s">
        <v>218</v>
      </c>
      <c r="D69" s="68">
        <f>D70</f>
        <v>290</v>
      </c>
      <c r="E69" s="68">
        <f t="shared" si="32"/>
        <v>137</v>
      </c>
      <c r="F69" s="68">
        <f t="shared" si="32"/>
        <v>0</v>
      </c>
      <c r="G69" s="68">
        <f t="shared" si="32"/>
        <v>0</v>
      </c>
      <c r="H69" s="68">
        <f t="shared" si="32"/>
        <v>0</v>
      </c>
      <c r="I69" s="68">
        <f t="shared" si="32"/>
        <v>0</v>
      </c>
      <c r="J69" s="68">
        <f t="shared" si="32"/>
        <v>0</v>
      </c>
      <c r="K69" s="68">
        <f t="shared" si="32"/>
        <v>0</v>
      </c>
      <c r="L69" s="68">
        <f t="shared" si="32"/>
        <v>0</v>
      </c>
      <c r="M69" s="68">
        <f t="shared" si="32"/>
        <v>0</v>
      </c>
      <c r="N69" s="68">
        <f t="shared" si="32"/>
        <v>-153</v>
      </c>
      <c r="O69" s="68">
        <f t="shared" si="32"/>
        <v>0</v>
      </c>
      <c r="P69" s="68">
        <f t="shared" si="32"/>
        <v>0</v>
      </c>
      <c r="Q69" s="68">
        <f t="shared" si="32"/>
        <v>0</v>
      </c>
      <c r="R69" s="68">
        <f t="shared" si="32"/>
        <v>0</v>
      </c>
    </row>
    <row r="70" spans="1:18" ht="30.75" customHeight="1" hidden="1">
      <c r="A70" s="66"/>
      <c r="B70" s="41" t="s">
        <v>3</v>
      </c>
      <c r="C70" s="67" t="s">
        <v>95</v>
      </c>
      <c r="D70" s="68">
        <f>290</f>
        <v>290</v>
      </c>
      <c r="E70" s="64">
        <f>D70+SUM(F70:R70)</f>
        <v>137</v>
      </c>
      <c r="F70" s="68"/>
      <c r="G70" s="68"/>
      <c r="H70" s="68"/>
      <c r="I70" s="68"/>
      <c r="J70" s="68"/>
      <c r="K70" s="68"/>
      <c r="L70" s="68"/>
      <c r="M70" s="68"/>
      <c r="N70" s="68">
        <v>-153</v>
      </c>
      <c r="O70" s="68"/>
      <c r="P70" s="68"/>
      <c r="Q70" s="68"/>
      <c r="R70" s="68"/>
    </row>
    <row r="71" spans="1:18" ht="25.5" hidden="1">
      <c r="A71" s="82" t="s">
        <v>227</v>
      </c>
      <c r="B71" s="41"/>
      <c r="C71" s="61" t="s">
        <v>116</v>
      </c>
      <c r="D71" s="68">
        <f>D72</f>
        <v>53.5</v>
      </c>
      <c r="E71" s="68">
        <f aca="true" t="shared" si="33" ref="E71:R71">E72</f>
        <v>53.5</v>
      </c>
      <c r="F71" s="68">
        <f t="shared" si="33"/>
        <v>0</v>
      </c>
      <c r="G71" s="68">
        <f t="shared" si="33"/>
        <v>0</v>
      </c>
      <c r="H71" s="68">
        <f t="shared" si="33"/>
        <v>0</v>
      </c>
      <c r="I71" s="68">
        <f t="shared" si="33"/>
        <v>0</v>
      </c>
      <c r="J71" s="68">
        <f t="shared" si="33"/>
        <v>0</v>
      </c>
      <c r="K71" s="68">
        <f t="shared" si="33"/>
        <v>0</v>
      </c>
      <c r="L71" s="68">
        <f t="shared" si="33"/>
        <v>0</v>
      </c>
      <c r="M71" s="68">
        <f t="shared" si="33"/>
        <v>0</v>
      </c>
      <c r="N71" s="68">
        <f t="shared" si="33"/>
        <v>0</v>
      </c>
      <c r="O71" s="68">
        <f t="shared" si="33"/>
        <v>0</v>
      </c>
      <c r="P71" s="68">
        <f t="shared" si="33"/>
        <v>0</v>
      </c>
      <c r="Q71" s="68">
        <f t="shared" si="33"/>
        <v>0</v>
      </c>
      <c r="R71" s="68">
        <f t="shared" si="33"/>
        <v>0</v>
      </c>
    </row>
    <row r="72" spans="1:18" ht="12.75" hidden="1">
      <c r="A72" s="66" t="s">
        <v>228</v>
      </c>
      <c r="B72" s="41"/>
      <c r="C72" s="83" t="s">
        <v>230</v>
      </c>
      <c r="D72" s="68">
        <f>D73+D75</f>
        <v>53.5</v>
      </c>
      <c r="E72" s="68">
        <f aca="true" t="shared" si="34" ref="E72:R72">E73+E75</f>
        <v>53.5</v>
      </c>
      <c r="F72" s="68">
        <f t="shared" si="34"/>
        <v>0</v>
      </c>
      <c r="G72" s="68">
        <f t="shared" si="34"/>
        <v>0</v>
      </c>
      <c r="H72" s="68">
        <f t="shared" si="34"/>
        <v>0</v>
      </c>
      <c r="I72" s="68">
        <f t="shared" si="34"/>
        <v>0</v>
      </c>
      <c r="J72" s="68">
        <f t="shared" si="34"/>
        <v>0</v>
      </c>
      <c r="K72" s="68">
        <f t="shared" si="34"/>
        <v>0</v>
      </c>
      <c r="L72" s="68">
        <f t="shared" si="34"/>
        <v>0</v>
      </c>
      <c r="M72" s="68">
        <f t="shared" si="34"/>
        <v>0</v>
      </c>
      <c r="N72" s="68">
        <f t="shared" si="34"/>
        <v>0</v>
      </c>
      <c r="O72" s="68">
        <f t="shared" si="34"/>
        <v>0</v>
      </c>
      <c r="P72" s="68">
        <f>P73+P75</f>
        <v>0</v>
      </c>
      <c r="Q72" s="68">
        <f>Q73+Q75</f>
        <v>0</v>
      </c>
      <c r="R72" s="68">
        <f t="shared" si="34"/>
        <v>0</v>
      </c>
    </row>
    <row r="73" spans="1:18" ht="25.5" hidden="1">
      <c r="A73" s="66" t="s">
        <v>229</v>
      </c>
      <c r="B73" s="41"/>
      <c r="C73" s="83" t="s">
        <v>231</v>
      </c>
      <c r="D73" s="68">
        <f>D74</f>
        <v>7.3</v>
      </c>
      <c r="E73" s="68">
        <f aca="true" t="shared" si="35" ref="E73:R73">E74</f>
        <v>7.3</v>
      </c>
      <c r="F73" s="68">
        <f t="shared" si="35"/>
        <v>0</v>
      </c>
      <c r="G73" s="68">
        <f t="shared" si="35"/>
        <v>0</v>
      </c>
      <c r="H73" s="68">
        <f t="shared" si="35"/>
        <v>0</v>
      </c>
      <c r="I73" s="68">
        <f t="shared" si="35"/>
        <v>0</v>
      </c>
      <c r="J73" s="68">
        <f t="shared" si="35"/>
        <v>0</v>
      </c>
      <c r="K73" s="68">
        <f t="shared" si="35"/>
        <v>0</v>
      </c>
      <c r="L73" s="68">
        <f t="shared" si="35"/>
        <v>0</v>
      </c>
      <c r="M73" s="68">
        <f t="shared" si="35"/>
        <v>0</v>
      </c>
      <c r="N73" s="68">
        <f t="shared" si="35"/>
        <v>0</v>
      </c>
      <c r="O73" s="68">
        <f t="shared" si="35"/>
        <v>0</v>
      </c>
      <c r="P73" s="68">
        <f t="shared" si="35"/>
        <v>0</v>
      </c>
      <c r="Q73" s="68">
        <f t="shared" si="35"/>
        <v>0</v>
      </c>
      <c r="R73" s="68">
        <f t="shared" si="35"/>
        <v>0</v>
      </c>
    </row>
    <row r="74" spans="1:18" ht="25.5" hidden="1">
      <c r="A74" s="66"/>
      <c r="B74" s="41" t="s">
        <v>3</v>
      </c>
      <c r="C74" s="67" t="s">
        <v>95</v>
      </c>
      <c r="D74" s="68">
        <f>7.3</f>
        <v>7.3</v>
      </c>
      <c r="E74" s="64">
        <f>D74+SUM(F74:R74)</f>
        <v>7.3</v>
      </c>
      <c r="F74" s="68"/>
      <c r="G74" s="68"/>
      <c r="H74" s="69"/>
      <c r="I74" s="69"/>
      <c r="J74" s="68"/>
      <c r="K74" s="68"/>
      <c r="L74" s="68"/>
      <c r="M74" s="68"/>
      <c r="N74" s="68"/>
      <c r="O74" s="68"/>
      <c r="P74" s="68"/>
      <c r="Q74" s="68"/>
      <c r="R74" s="68"/>
    </row>
    <row r="75" spans="1:18" ht="25.5" hidden="1">
      <c r="A75" s="66" t="s">
        <v>503</v>
      </c>
      <c r="B75" s="41"/>
      <c r="C75" s="67" t="s">
        <v>502</v>
      </c>
      <c r="D75" s="68">
        <f>D76</f>
        <v>46.2</v>
      </c>
      <c r="E75" s="68">
        <f aca="true" t="shared" si="36" ref="E75:R75">E76</f>
        <v>46.2</v>
      </c>
      <c r="F75" s="68">
        <f t="shared" si="36"/>
        <v>0</v>
      </c>
      <c r="G75" s="68">
        <f t="shared" si="36"/>
        <v>0</v>
      </c>
      <c r="H75" s="68">
        <f t="shared" si="36"/>
        <v>0</v>
      </c>
      <c r="I75" s="68">
        <f t="shared" si="36"/>
        <v>0</v>
      </c>
      <c r="J75" s="68">
        <f t="shared" si="36"/>
        <v>0</v>
      </c>
      <c r="K75" s="68">
        <f t="shared" si="36"/>
        <v>0</v>
      </c>
      <c r="L75" s="68">
        <f t="shared" si="36"/>
        <v>0</v>
      </c>
      <c r="M75" s="68">
        <f t="shared" si="36"/>
        <v>0</v>
      </c>
      <c r="N75" s="68">
        <f t="shared" si="36"/>
        <v>0</v>
      </c>
      <c r="O75" s="68">
        <f t="shared" si="36"/>
        <v>0</v>
      </c>
      <c r="P75" s="68">
        <f t="shared" si="36"/>
        <v>0</v>
      </c>
      <c r="Q75" s="68">
        <f t="shared" si="36"/>
        <v>0</v>
      </c>
      <c r="R75" s="68">
        <f t="shared" si="36"/>
        <v>0</v>
      </c>
    </row>
    <row r="76" spans="1:18" ht="25.5" hidden="1">
      <c r="A76" s="66"/>
      <c r="B76" s="41" t="s">
        <v>3</v>
      </c>
      <c r="C76" s="67" t="s">
        <v>95</v>
      </c>
      <c r="D76" s="68">
        <v>46.2</v>
      </c>
      <c r="E76" s="64">
        <f>D76+SUM(F76:R76)</f>
        <v>46.2</v>
      </c>
      <c r="F76" s="68"/>
      <c r="G76" s="68"/>
      <c r="H76" s="69"/>
      <c r="I76" s="69"/>
      <c r="J76" s="68"/>
      <c r="K76" s="68"/>
      <c r="L76" s="68"/>
      <c r="M76" s="68"/>
      <c r="N76" s="68"/>
      <c r="O76" s="68"/>
      <c r="P76" s="68"/>
      <c r="Q76" s="68"/>
      <c r="R76" s="68"/>
    </row>
    <row r="77" spans="1:18" ht="51" hidden="1">
      <c r="A77" s="82" t="s">
        <v>236</v>
      </c>
      <c r="B77" s="41"/>
      <c r="C77" s="61" t="s">
        <v>117</v>
      </c>
      <c r="D77" s="68">
        <f>D78</f>
        <v>0</v>
      </c>
      <c r="E77" s="68">
        <f aca="true" t="shared" si="37" ref="E77:R78">E78</f>
        <v>0</v>
      </c>
      <c r="F77" s="68">
        <f t="shared" si="37"/>
        <v>0</v>
      </c>
      <c r="G77" s="68">
        <f t="shared" si="37"/>
        <v>0</v>
      </c>
      <c r="H77" s="68">
        <f t="shared" si="37"/>
        <v>0</v>
      </c>
      <c r="I77" s="68">
        <f t="shared" si="37"/>
        <v>0</v>
      </c>
      <c r="J77" s="68">
        <f t="shared" si="37"/>
        <v>0</v>
      </c>
      <c r="K77" s="68">
        <f t="shared" si="37"/>
        <v>0</v>
      </c>
      <c r="L77" s="68">
        <f t="shared" si="37"/>
        <v>0</v>
      </c>
      <c r="M77" s="68">
        <f t="shared" si="37"/>
        <v>0</v>
      </c>
      <c r="N77" s="68">
        <f t="shared" si="37"/>
        <v>0</v>
      </c>
      <c r="O77" s="68">
        <f t="shared" si="37"/>
        <v>0</v>
      </c>
      <c r="P77" s="68">
        <f t="shared" si="37"/>
        <v>0</v>
      </c>
      <c r="Q77" s="68">
        <f t="shared" si="37"/>
        <v>0</v>
      </c>
      <c r="R77" s="68">
        <f t="shared" si="37"/>
        <v>0</v>
      </c>
    </row>
    <row r="78" spans="1:18" ht="51" hidden="1">
      <c r="A78" s="66" t="s">
        <v>237</v>
      </c>
      <c r="B78" s="41"/>
      <c r="C78" s="57" t="s">
        <v>239</v>
      </c>
      <c r="D78" s="68">
        <f>D79</f>
        <v>0</v>
      </c>
      <c r="E78" s="68">
        <f t="shared" si="37"/>
        <v>0</v>
      </c>
      <c r="F78" s="68">
        <f t="shared" si="37"/>
        <v>0</v>
      </c>
      <c r="G78" s="68">
        <f t="shared" si="37"/>
        <v>0</v>
      </c>
      <c r="H78" s="68">
        <f t="shared" si="37"/>
        <v>0</v>
      </c>
      <c r="I78" s="68">
        <f t="shared" si="37"/>
        <v>0</v>
      </c>
      <c r="J78" s="68">
        <f t="shared" si="37"/>
        <v>0</v>
      </c>
      <c r="K78" s="68">
        <f t="shared" si="37"/>
        <v>0</v>
      </c>
      <c r="L78" s="68">
        <f t="shared" si="37"/>
        <v>0</v>
      </c>
      <c r="M78" s="68">
        <f t="shared" si="37"/>
        <v>0</v>
      </c>
      <c r="N78" s="68">
        <f t="shared" si="37"/>
        <v>0</v>
      </c>
      <c r="O78" s="68">
        <f t="shared" si="37"/>
        <v>0</v>
      </c>
      <c r="P78" s="68">
        <f t="shared" si="37"/>
        <v>0</v>
      </c>
      <c r="Q78" s="68">
        <f t="shared" si="37"/>
        <v>0</v>
      </c>
      <c r="R78" s="68">
        <f t="shared" si="37"/>
        <v>0</v>
      </c>
    </row>
    <row r="79" spans="1:18" ht="38.25" hidden="1">
      <c r="A79" s="66" t="s">
        <v>238</v>
      </c>
      <c r="B79" s="41"/>
      <c r="C79" s="57" t="s">
        <v>240</v>
      </c>
      <c r="D79" s="68">
        <f>D80</f>
        <v>0</v>
      </c>
      <c r="E79" s="68">
        <f aca="true" t="shared" si="38" ref="E79:R79">E80</f>
        <v>0</v>
      </c>
      <c r="F79" s="68">
        <f t="shared" si="38"/>
        <v>0</v>
      </c>
      <c r="G79" s="68">
        <f t="shared" si="38"/>
        <v>0</v>
      </c>
      <c r="H79" s="68">
        <f t="shared" si="38"/>
        <v>0</v>
      </c>
      <c r="I79" s="68">
        <f t="shared" si="38"/>
        <v>0</v>
      </c>
      <c r="J79" s="68">
        <f t="shared" si="38"/>
        <v>0</v>
      </c>
      <c r="K79" s="68">
        <f t="shared" si="38"/>
        <v>0</v>
      </c>
      <c r="L79" s="68">
        <f t="shared" si="38"/>
        <v>0</v>
      </c>
      <c r="M79" s="68">
        <f t="shared" si="38"/>
        <v>0</v>
      </c>
      <c r="N79" s="68">
        <f t="shared" si="38"/>
        <v>0</v>
      </c>
      <c r="O79" s="68">
        <f t="shared" si="38"/>
        <v>0</v>
      </c>
      <c r="P79" s="68">
        <f t="shared" si="38"/>
        <v>0</v>
      </c>
      <c r="Q79" s="68">
        <f t="shared" si="38"/>
        <v>0</v>
      </c>
      <c r="R79" s="68">
        <f t="shared" si="38"/>
        <v>0</v>
      </c>
    </row>
    <row r="80" spans="1:18" ht="25.5" hidden="1">
      <c r="A80" s="66"/>
      <c r="B80" s="41" t="s">
        <v>3</v>
      </c>
      <c r="C80" s="67" t="s">
        <v>95</v>
      </c>
      <c r="D80" s="68"/>
      <c r="E80" s="64">
        <f>D80+SUM(F80:R80)</f>
        <v>0</v>
      </c>
      <c r="F80" s="68"/>
      <c r="G80" s="68"/>
      <c r="H80" s="69"/>
      <c r="I80" s="69"/>
      <c r="J80" s="68"/>
      <c r="K80" s="68"/>
      <c r="L80" s="68"/>
      <c r="M80" s="68"/>
      <c r="N80" s="68"/>
      <c r="O80" s="68"/>
      <c r="P80" s="68"/>
      <c r="Q80" s="68"/>
      <c r="R80" s="68"/>
    </row>
    <row r="81" spans="1:18" ht="25.5" hidden="1">
      <c r="A81" s="162" t="s">
        <v>495</v>
      </c>
      <c r="B81" s="136"/>
      <c r="C81" s="137" t="s">
        <v>494</v>
      </c>
      <c r="D81" s="120">
        <f aca="true" t="shared" si="39" ref="D81:R81">D82</f>
        <v>135</v>
      </c>
      <c r="E81" s="120">
        <f t="shared" si="39"/>
        <v>518.8</v>
      </c>
      <c r="F81" s="120">
        <f t="shared" si="39"/>
        <v>0</v>
      </c>
      <c r="G81" s="120">
        <f t="shared" si="39"/>
        <v>0</v>
      </c>
      <c r="H81" s="120">
        <f t="shared" si="39"/>
        <v>0</v>
      </c>
      <c r="I81" s="120">
        <f t="shared" si="39"/>
        <v>0</v>
      </c>
      <c r="J81" s="120">
        <f t="shared" si="39"/>
        <v>0</v>
      </c>
      <c r="K81" s="120">
        <f t="shared" si="39"/>
        <v>0</v>
      </c>
      <c r="L81" s="120">
        <f t="shared" si="39"/>
        <v>0</v>
      </c>
      <c r="M81" s="120">
        <f t="shared" si="39"/>
        <v>0</v>
      </c>
      <c r="N81" s="120">
        <f t="shared" si="39"/>
        <v>383.8</v>
      </c>
      <c r="O81" s="68">
        <f t="shared" si="39"/>
        <v>0</v>
      </c>
      <c r="P81" s="68">
        <f t="shared" si="39"/>
        <v>0</v>
      </c>
      <c r="Q81" s="68">
        <f t="shared" si="39"/>
        <v>0</v>
      </c>
      <c r="R81" s="68">
        <f t="shared" si="39"/>
        <v>0</v>
      </c>
    </row>
    <row r="82" spans="1:18" ht="38.25" hidden="1">
      <c r="A82" s="147" t="s">
        <v>496</v>
      </c>
      <c r="B82" s="107"/>
      <c r="C82" s="138" t="s">
        <v>517</v>
      </c>
      <c r="D82" s="68">
        <f aca="true" t="shared" si="40" ref="D82:R82">D83+D89+D85+D87</f>
        <v>135</v>
      </c>
      <c r="E82" s="68">
        <f t="shared" si="40"/>
        <v>518.8</v>
      </c>
      <c r="F82" s="68">
        <f t="shared" si="40"/>
        <v>0</v>
      </c>
      <c r="G82" s="68">
        <f t="shared" si="40"/>
        <v>0</v>
      </c>
      <c r="H82" s="68">
        <f t="shared" si="40"/>
        <v>0</v>
      </c>
      <c r="I82" s="68">
        <f t="shared" si="40"/>
        <v>0</v>
      </c>
      <c r="J82" s="68">
        <f t="shared" si="40"/>
        <v>0</v>
      </c>
      <c r="K82" s="68">
        <f t="shared" si="40"/>
        <v>0</v>
      </c>
      <c r="L82" s="68">
        <f t="shared" si="40"/>
        <v>0</v>
      </c>
      <c r="M82" s="68">
        <f t="shared" si="40"/>
        <v>0</v>
      </c>
      <c r="N82" s="68">
        <f t="shared" si="40"/>
        <v>383.8</v>
      </c>
      <c r="O82" s="68">
        <f t="shared" si="40"/>
        <v>0</v>
      </c>
      <c r="P82" s="68">
        <f>P83+P89+P85+P87</f>
        <v>0</v>
      </c>
      <c r="Q82" s="68">
        <f>Q83+Q89+Q85+Q87</f>
        <v>0</v>
      </c>
      <c r="R82" s="68">
        <f t="shared" si="40"/>
        <v>0</v>
      </c>
    </row>
    <row r="83" spans="1:18" ht="38.25" hidden="1">
      <c r="A83" s="147" t="s">
        <v>497</v>
      </c>
      <c r="B83" s="107"/>
      <c r="C83" s="139" t="s">
        <v>211</v>
      </c>
      <c r="D83" s="68">
        <f>D84</f>
        <v>30</v>
      </c>
      <c r="E83" s="68">
        <f aca="true" t="shared" si="41" ref="E83:R83">E84</f>
        <v>10</v>
      </c>
      <c r="F83" s="68">
        <f t="shared" si="41"/>
        <v>0</v>
      </c>
      <c r="G83" s="68">
        <f t="shared" si="41"/>
        <v>0</v>
      </c>
      <c r="H83" s="68">
        <f t="shared" si="41"/>
        <v>0</v>
      </c>
      <c r="I83" s="68">
        <f t="shared" si="41"/>
        <v>0</v>
      </c>
      <c r="J83" s="68">
        <f t="shared" si="41"/>
        <v>0</v>
      </c>
      <c r="K83" s="68">
        <f t="shared" si="41"/>
        <v>0</v>
      </c>
      <c r="L83" s="68">
        <f t="shared" si="41"/>
        <v>0</v>
      </c>
      <c r="M83" s="68">
        <f t="shared" si="41"/>
        <v>0</v>
      </c>
      <c r="N83" s="68">
        <f t="shared" si="41"/>
        <v>-20</v>
      </c>
      <c r="O83" s="68">
        <f t="shared" si="41"/>
        <v>0</v>
      </c>
      <c r="P83" s="68">
        <f t="shared" si="41"/>
        <v>0</v>
      </c>
      <c r="Q83" s="68">
        <f t="shared" si="41"/>
        <v>0</v>
      </c>
      <c r="R83" s="68">
        <f t="shared" si="41"/>
        <v>0</v>
      </c>
    </row>
    <row r="84" spans="1:18" ht="25.5" hidden="1">
      <c r="A84" s="66"/>
      <c r="B84" s="41" t="s">
        <v>3</v>
      </c>
      <c r="C84" s="67" t="s">
        <v>95</v>
      </c>
      <c r="D84" s="79">
        <v>30</v>
      </c>
      <c r="E84" s="93">
        <f>D84+SUM(F84:R84)</f>
        <v>10</v>
      </c>
      <c r="F84" s="79"/>
      <c r="G84" s="79"/>
      <c r="H84" s="92"/>
      <c r="I84" s="92"/>
      <c r="J84" s="79"/>
      <c r="K84" s="79">
        <f>-30+30</f>
        <v>0</v>
      </c>
      <c r="L84" s="79"/>
      <c r="M84" s="79"/>
      <c r="N84" s="79">
        <v>-20</v>
      </c>
      <c r="O84" s="79"/>
      <c r="P84" s="79"/>
      <c r="Q84" s="79"/>
      <c r="R84" s="79"/>
    </row>
    <row r="85" spans="1:18" ht="25.5" hidden="1">
      <c r="A85" s="66" t="s">
        <v>504</v>
      </c>
      <c r="B85" s="41"/>
      <c r="C85" s="67" t="s">
        <v>213</v>
      </c>
      <c r="D85" s="79">
        <f>D86</f>
        <v>100</v>
      </c>
      <c r="E85" s="79">
        <f aca="true" t="shared" si="42" ref="E85:R85">E86</f>
        <v>0</v>
      </c>
      <c r="F85" s="79">
        <f t="shared" si="42"/>
        <v>0</v>
      </c>
      <c r="G85" s="79">
        <f t="shared" si="42"/>
        <v>0</v>
      </c>
      <c r="H85" s="79">
        <f t="shared" si="42"/>
        <v>0</v>
      </c>
      <c r="I85" s="79">
        <f t="shared" si="42"/>
        <v>0</v>
      </c>
      <c r="J85" s="79">
        <f t="shared" si="42"/>
        <v>0</v>
      </c>
      <c r="K85" s="79">
        <f t="shared" si="42"/>
        <v>0</v>
      </c>
      <c r="L85" s="79">
        <f t="shared" si="42"/>
        <v>0</v>
      </c>
      <c r="M85" s="79">
        <f t="shared" si="42"/>
        <v>0</v>
      </c>
      <c r="N85" s="79">
        <f t="shared" si="42"/>
        <v>-100</v>
      </c>
      <c r="O85" s="79">
        <f t="shared" si="42"/>
        <v>0</v>
      </c>
      <c r="P85" s="79">
        <f t="shared" si="42"/>
        <v>0</v>
      </c>
      <c r="Q85" s="79">
        <f t="shared" si="42"/>
        <v>0</v>
      </c>
      <c r="R85" s="79">
        <f t="shared" si="42"/>
        <v>0</v>
      </c>
    </row>
    <row r="86" spans="1:18" ht="25.5" hidden="1">
      <c r="A86" s="66"/>
      <c r="B86" s="41" t="s">
        <v>3</v>
      </c>
      <c r="C86" s="67" t="s">
        <v>95</v>
      </c>
      <c r="D86" s="79">
        <v>100</v>
      </c>
      <c r="E86" s="93">
        <f>D86+SUM(F86:R86)</f>
        <v>0</v>
      </c>
      <c r="F86" s="79"/>
      <c r="G86" s="79"/>
      <c r="H86" s="92"/>
      <c r="I86" s="92"/>
      <c r="J86" s="79"/>
      <c r="K86" s="79">
        <f>-100+100</f>
        <v>0</v>
      </c>
      <c r="L86" s="79"/>
      <c r="M86" s="79"/>
      <c r="N86" s="79">
        <f>-100</f>
        <v>-100</v>
      </c>
      <c r="O86" s="79"/>
      <c r="P86" s="79"/>
      <c r="Q86" s="79"/>
      <c r="R86" s="79"/>
    </row>
    <row r="87" spans="1:18" ht="25.5" hidden="1">
      <c r="A87" s="66" t="s">
        <v>504</v>
      </c>
      <c r="B87" s="41"/>
      <c r="C87" s="67" t="s">
        <v>556</v>
      </c>
      <c r="D87" s="79"/>
      <c r="E87" s="79">
        <f aca="true" t="shared" si="43" ref="E87:M87">E88</f>
        <v>503.8</v>
      </c>
      <c r="F87" s="79">
        <f t="shared" si="43"/>
        <v>0</v>
      </c>
      <c r="G87" s="79">
        <f t="shared" si="43"/>
        <v>0</v>
      </c>
      <c r="H87" s="79">
        <f t="shared" si="43"/>
        <v>0</v>
      </c>
      <c r="I87" s="79">
        <f t="shared" si="43"/>
        <v>0</v>
      </c>
      <c r="J87" s="79">
        <f t="shared" si="43"/>
        <v>0</v>
      </c>
      <c r="K87" s="79">
        <f t="shared" si="43"/>
        <v>0</v>
      </c>
      <c r="L87" s="79">
        <f t="shared" si="43"/>
        <v>0</v>
      </c>
      <c r="M87" s="79">
        <f t="shared" si="43"/>
        <v>0</v>
      </c>
      <c r="N87" s="79">
        <f>N88</f>
        <v>503.8</v>
      </c>
      <c r="O87" s="79">
        <f>O88</f>
        <v>0</v>
      </c>
      <c r="P87" s="79">
        <f>P88</f>
        <v>0</v>
      </c>
      <c r="Q87" s="79">
        <f>Q88</f>
        <v>0</v>
      </c>
      <c r="R87" s="79">
        <f>R88</f>
        <v>0</v>
      </c>
    </row>
    <row r="88" spans="1:18" ht="25.5" hidden="1">
      <c r="A88" s="66"/>
      <c r="B88" s="41" t="s">
        <v>3</v>
      </c>
      <c r="C88" s="67" t="s">
        <v>95</v>
      </c>
      <c r="D88" s="79"/>
      <c r="E88" s="93">
        <f>D88+SUM(F88:R88)</f>
        <v>503.8</v>
      </c>
      <c r="F88" s="79"/>
      <c r="G88" s="79"/>
      <c r="H88" s="92"/>
      <c r="I88" s="92"/>
      <c r="J88" s="79"/>
      <c r="K88" s="79"/>
      <c r="L88" s="79"/>
      <c r="M88" s="79"/>
      <c r="N88" s="79">
        <v>503.8</v>
      </c>
      <c r="O88" s="79"/>
      <c r="P88" s="79"/>
      <c r="Q88" s="79"/>
      <c r="R88" s="79"/>
    </row>
    <row r="89" spans="1:18" ht="38.25" hidden="1">
      <c r="A89" s="66" t="s">
        <v>498</v>
      </c>
      <c r="B89" s="41"/>
      <c r="C89" s="67" t="s">
        <v>499</v>
      </c>
      <c r="D89" s="79">
        <f>D90</f>
        <v>5</v>
      </c>
      <c r="E89" s="79">
        <f aca="true" t="shared" si="44" ref="E89:R89">E90</f>
        <v>5</v>
      </c>
      <c r="F89" s="79">
        <f t="shared" si="44"/>
        <v>0</v>
      </c>
      <c r="G89" s="79">
        <f t="shared" si="44"/>
        <v>0</v>
      </c>
      <c r="H89" s="79">
        <f t="shared" si="44"/>
        <v>0</v>
      </c>
      <c r="I89" s="79">
        <f t="shared" si="44"/>
        <v>0</v>
      </c>
      <c r="J89" s="79">
        <f t="shared" si="44"/>
        <v>0</v>
      </c>
      <c r="K89" s="79">
        <f t="shared" si="44"/>
        <v>0</v>
      </c>
      <c r="L89" s="79">
        <f t="shared" si="44"/>
        <v>0</v>
      </c>
      <c r="M89" s="79">
        <f t="shared" si="44"/>
        <v>0</v>
      </c>
      <c r="N89" s="79">
        <f t="shared" si="44"/>
        <v>0</v>
      </c>
      <c r="O89" s="79">
        <f t="shared" si="44"/>
        <v>0</v>
      </c>
      <c r="P89" s="79">
        <f t="shared" si="44"/>
        <v>0</v>
      </c>
      <c r="Q89" s="79">
        <f t="shared" si="44"/>
        <v>0</v>
      </c>
      <c r="R89" s="79">
        <f t="shared" si="44"/>
        <v>0</v>
      </c>
    </row>
    <row r="90" spans="1:18" ht="25.5" hidden="1">
      <c r="A90" s="66"/>
      <c r="B90" s="41" t="s">
        <v>3</v>
      </c>
      <c r="C90" s="67" t="s">
        <v>95</v>
      </c>
      <c r="D90" s="68">
        <v>5</v>
      </c>
      <c r="E90" s="64">
        <f>D90+SUM(F90:R90)</f>
        <v>5</v>
      </c>
      <c r="F90" s="68"/>
      <c r="G90" s="68"/>
      <c r="H90" s="69"/>
      <c r="I90" s="69"/>
      <c r="J90" s="68"/>
      <c r="K90" s="68">
        <f>-5+5</f>
        <v>0</v>
      </c>
      <c r="L90" s="68"/>
      <c r="M90" s="68"/>
      <c r="N90" s="68"/>
      <c r="O90" s="68"/>
      <c r="P90" s="68"/>
      <c r="Q90" s="68"/>
      <c r="R90" s="68"/>
    </row>
    <row r="91" spans="1:18" ht="51" hidden="1">
      <c r="A91" s="63" t="s">
        <v>241</v>
      </c>
      <c r="B91" s="11"/>
      <c r="C91" s="60" t="s">
        <v>118</v>
      </c>
      <c r="D91" s="73">
        <f>D92+D95+D99+D103</f>
        <v>767</v>
      </c>
      <c r="E91" s="73">
        <f aca="true" t="shared" si="45" ref="E91:R91">E92+E95+E99+E103</f>
        <v>767</v>
      </c>
      <c r="F91" s="73">
        <f t="shared" si="45"/>
        <v>0</v>
      </c>
      <c r="G91" s="73">
        <f t="shared" si="45"/>
        <v>0</v>
      </c>
      <c r="H91" s="73">
        <f t="shared" si="45"/>
        <v>0</v>
      </c>
      <c r="I91" s="73">
        <f t="shared" si="45"/>
        <v>0</v>
      </c>
      <c r="J91" s="73">
        <f t="shared" si="45"/>
        <v>0</v>
      </c>
      <c r="K91" s="73">
        <f t="shared" si="45"/>
        <v>0</v>
      </c>
      <c r="L91" s="73">
        <f t="shared" si="45"/>
        <v>0</v>
      </c>
      <c r="M91" s="73">
        <f t="shared" si="45"/>
        <v>0</v>
      </c>
      <c r="N91" s="73">
        <f t="shared" si="45"/>
        <v>0</v>
      </c>
      <c r="O91" s="73">
        <f t="shared" si="45"/>
        <v>0</v>
      </c>
      <c r="P91" s="73">
        <f>P92+P95+P99+P103</f>
        <v>0</v>
      </c>
      <c r="Q91" s="73">
        <f>Q92+Q95+Q99+Q103</f>
        <v>0</v>
      </c>
      <c r="R91" s="73">
        <f t="shared" si="45"/>
        <v>0</v>
      </c>
    </row>
    <row r="92" spans="1:18" ht="38.25" hidden="1">
      <c r="A92" s="82" t="s">
        <v>242</v>
      </c>
      <c r="B92" s="41"/>
      <c r="C92" s="61" t="s">
        <v>244</v>
      </c>
      <c r="D92" s="68">
        <f>D93</f>
        <v>35</v>
      </c>
      <c r="E92" s="68">
        <f aca="true" t="shared" si="46" ref="E92:R93">E93</f>
        <v>35</v>
      </c>
      <c r="F92" s="68">
        <f t="shared" si="46"/>
        <v>0</v>
      </c>
      <c r="G92" s="68">
        <f t="shared" si="46"/>
        <v>0</v>
      </c>
      <c r="H92" s="68">
        <f t="shared" si="46"/>
        <v>0</v>
      </c>
      <c r="I92" s="68">
        <f t="shared" si="46"/>
        <v>0</v>
      </c>
      <c r="J92" s="68">
        <f t="shared" si="46"/>
        <v>0</v>
      </c>
      <c r="K92" s="68">
        <f t="shared" si="46"/>
        <v>0</v>
      </c>
      <c r="L92" s="68">
        <f t="shared" si="46"/>
        <v>0</v>
      </c>
      <c r="M92" s="68">
        <f t="shared" si="46"/>
        <v>0</v>
      </c>
      <c r="N92" s="68">
        <f t="shared" si="46"/>
        <v>0</v>
      </c>
      <c r="O92" s="68">
        <f t="shared" si="46"/>
        <v>0</v>
      </c>
      <c r="P92" s="68">
        <f t="shared" si="46"/>
        <v>0</v>
      </c>
      <c r="Q92" s="68">
        <f t="shared" si="46"/>
        <v>0</v>
      </c>
      <c r="R92" s="68">
        <f t="shared" si="46"/>
        <v>0</v>
      </c>
    </row>
    <row r="93" spans="1:18" ht="38.25" hidden="1">
      <c r="A93" s="66" t="s">
        <v>243</v>
      </c>
      <c r="B93" s="41"/>
      <c r="C93" s="57" t="s">
        <v>245</v>
      </c>
      <c r="D93" s="68">
        <f>D94</f>
        <v>35</v>
      </c>
      <c r="E93" s="68">
        <f t="shared" si="46"/>
        <v>35</v>
      </c>
      <c r="F93" s="68">
        <f t="shared" si="46"/>
        <v>0</v>
      </c>
      <c r="G93" s="68">
        <f t="shared" si="46"/>
        <v>0</v>
      </c>
      <c r="H93" s="68">
        <f t="shared" si="46"/>
        <v>0</v>
      </c>
      <c r="I93" s="68">
        <f t="shared" si="46"/>
        <v>0</v>
      </c>
      <c r="J93" s="68">
        <f t="shared" si="46"/>
        <v>0</v>
      </c>
      <c r="K93" s="68">
        <f t="shared" si="46"/>
        <v>0</v>
      </c>
      <c r="L93" s="68">
        <f t="shared" si="46"/>
        <v>0</v>
      </c>
      <c r="M93" s="68">
        <f t="shared" si="46"/>
        <v>0</v>
      </c>
      <c r="N93" s="68">
        <f t="shared" si="46"/>
        <v>0</v>
      </c>
      <c r="O93" s="68">
        <f t="shared" si="46"/>
        <v>0</v>
      </c>
      <c r="P93" s="68">
        <f t="shared" si="46"/>
        <v>0</v>
      </c>
      <c r="Q93" s="68">
        <f t="shared" si="46"/>
        <v>0</v>
      </c>
      <c r="R93" s="68">
        <f t="shared" si="46"/>
        <v>0</v>
      </c>
    </row>
    <row r="94" spans="1:18" ht="12.75" hidden="1">
      <c r="A94" s="66"/>
      <c r="B94" s="41" t="s">
        <v>4</v>
      </c>
      <c r="C94" s="67" t="s">
        <v>5</v>
      </c>
      <c r="D94" s="68">
        <v>35</v>
      </c>
      <c r="E94" s="64">
        <f>D94+SUM(F94:R94)</f>
        <v>35</v>
      </c>
      <c r="F94" s="68"/>
      <c r="G94" s="68"/>
      <c r="H94" s="69"/>
      <c r="I94" s="69"/>
      <c r="J94" s="68"/>
      <c r="K94" s="68"/>
      <c r="L94" s="68"/>
      <c r="M94" s="68"/>
      <c r="N94" s="68"/>
      <c r="O94" s="68"/>
      <c r="P94" s="68"/>
      <c r="Q94" s="68"/>
      <c r="R94" s="68"/>
    </row>
    <row r="95" spans="1:18" ht="38.25" hidden="1">
      <c r="A95" s="82" t="s">
        <v>246</v>
      </c>
      <c r="B95" s="99"/>
      <c r="C95" s="61" t="s">
        <v>248</v>
      </c>
      <c r="D95" s="68">
        <f>D96</f>
        <v>10</v>
      </c>
      <c r="E95" s="68">
        <f aca="true" t="shared" si="47" ref="E95:R95">E96</f>
        <v>10</v>
      </c>
      <c r="F95" s="68">
        <f t="shared" si="47"/>
        <v>0</v>
      </c>
      <c r="G95" s="68">
        <f t="shared" si="47"/>
        <v>0</v>
      </c>
      <c r="H95" s="68">
        <f t="shared" si="47"/>
        <v>0</v>
      </c>
      <c r="I95" s="68">
        <f t="shared" si="47"/>
        <v>0</v>
      </c>
      <c r="J95" s="68">
        <f t="shared" si="47"/>
        <v>0</v>
      </c>
      <c r="K95" s="68">
        <f t="shared" si="47"/>
        <v>0</v>
      </c>
      <c r="L95" s="68">
        <f t="shared" si="47"/>
        <v>0</v>
      </c>
      <c r="M95" s="68">
        <f t="shared" si="47"/>
        <v>0</v>
      </c>
      <c r="N95" s="68">
        <f t="shared" si="47"/>
        <v>0</v>
      </c>
      <c r="O95" s="68">
        <f t="shared" si="47"/>
        <v>0</v>
      </c>
      <c r="P95" s="68">
        <f t="shared" si="47"/>
        <v>0</v>
      </c>
      <c r="Q95" s="68">
        <f t="shared" si="47"/>
        <v>0</v>
      </c>
      <c r="R95" s="68">
        <f t="shared" si="47"/>
        <v>0</v>
      </c>
    </row>
    <row r="96" spans="1:18" ht="25.5" hidden="1">
      <c r="A96" s="66" t="s">
        <v>247</v>
      </c>
      <c r="B96" s="41"/>
      <c r="C96" s="57" t="s">
        <v>249</v>
      </c>
      <c r="D96" s="68">
        <f>D97+D98</f>
        <v>10</v>
      </c>
      <c r="E96" s="68">
        <f aca="true" t="shared" si="48" ref="E96:R96">E97+E98</f>
        <v>10</v>
      </c>
      <c r="F96" s="68">
        <f t="shared" si="48"/>
        <v>0</v>
      </c>
      <c r="G96" s="68">
        <f t="shared" si="48"/>
        <v>0</v>
      </c>
      <c r="H96" s="68">
        <f t="shared" si="48"/>
        <v>0</v>
      </c>
      <c r="I96" s="68">
        <f t="shared" si="48"/>
        <v>0</v>
      </c>
      <c r="J96" s="68">
        <f t="shared" si="48"/>
        <v>0</v>
      </c>
      <c r="K96" s="68">
        <f t="shared" si="48"/>
        <v>0</v>
      </c>
      <c r="L96" s="68">
        <f t="shared" si="48"/>
        <v>0</v>
      </c>
      <c r="M96" s="68">
        <f t="shared" si="48"/>
        <v>0</v>
      </c>
      <c r="N96" s="68">
        <f t="shared" si="48"/>
        <v>0</v>
      </c>
      <c r="O96" s="68">
        <f t="shared" si="48"/>
        <v>0</v>
      </c>
      <c r="P96" s="68">
        <f>P97+P98</f>
        <v>0</v>
      </c>
      <c r="Q96" s="68">
        <f>Q97+Q98</f>
        <v>0</v>
      </c>
      <c r="R96" s="68">
        <f t="shared" si="48"/>
        <v>0</v>
      </c>
    </row>
    <row r="97" spans="1:18" ht="25.5" hidden="1">
      <c r="A97" s="66"/>
      <c r="B97" s="41" t="s">
        <v>3</v>
      </c>
      <c r="C97" s="67" t="s">
        <v>95</v>
      </c>
      <c r="D97" s="79">
        <v>10</v>
      </c>
      <c r="E97" s="64">
        <f>D97+SUM(F97:R97)</f>
        <v>0</v>
      </c>
      <c r="F97" s="68">
        <v>-10</v>
      </c>
      <c r="G97" s="68"/>
      <c r="H97" s="69"/>
      <c r="I97" s="69"/>
      <c r="J97" s="68"/>
      <c r="K97" s="68"/>
      <c r="L97" s="68"/>
      <c r="M97" s="68"/>
      <c r="N97" s="68"/>
      <c r="O97" s="68"/>
      <c r="P97" s="68"/>
      <c r="Q97" s="68"/>
      <c r="R97" s="68"/>
    </row>
    <row r="98" spans="1:18" ht="25.5" hidden="1">
      <c r="A98" s="66"/>
      <c r="B98" s="41" t="s">
        <v>11</v>
      </c>
      <c r="C98" s="67" t="s">
        <v>12</v>
      </c>
      <c r="D98" s="79"/>
      <c r="E98" s="64">
        <f>D98+SUM(F98:R98)</f>
        <v>10</v>
      </c>
      <c r="F98" s="68">
        <v>10</v>
      </c>
      <c r="G98" s="68"/>
      <c r="H98" s="69"/>
      <c r="I98" s="69"/>
      <c r="J98" s="68"/>
      <c r="K98" s="68"/>
      <c r="L98" s="68"/>
      <c r="M98" s="68"/>
      <c r="N98" s="68"/>
      <c r="O98" s="68"/>
      <c r="P98" s="68"/>
      <c r="Q98" s="68"/>
      <c r="R98" s="68"/>
    </row>
    <row r="99" spans="1:18" ht="25.5" hidden="1">
      <c r="A99" s="82" t="s">
        <v>250</v>
      </c>
      <c r="B99" s="41"/>
      <c r="C99" s="61" t="s">
        <v>119</v>
      </c>
      <c r="D99" s="68">
        <f>D100</f>
        <v>22</v>
      </c>
      <c r="E99" s="68">
        <f aca="true" t="shared" si="49" ref="E99:R101">E100</f>
        <v>22</v>
      </c>
      <c r="F99" s="68">
        <f t="shared" si="49"/>
        <v>0</v>
      </c>
      <c r="G99" s="68">
        <f t="shared" si="49"/>
        <v>0</v>
      </c>
      <c r="H99" s="68">
        <f t="shared" si="49"/>
        <v>0</v>
      </c>
      <c r="I99" s="68">
        <f t="shared" si="49"/>
        <v>0</v>
      </c>
      <c r="J99" s="68">
        <f t="shared" si="49"/>
        <v>0</v>
      </c>
      <c r="K99" s="68">
        <f t="shared" si="49"/>
        <v>0</v>
      </c>
      <c r="L99" s="68">
        <f t="shared" si="49"/>
        <v>0</v>
      </c>
      <c r="M99" s="68">
        <f t="shared" si="49"/>
        <v>0</v>
      </c>
      <c r="N99" s="68">
        <f t="shared" si="49"/>
        <v>0</v>
      </c>
      <c r="O99" s="68">
        <f t="shared" si="49"/>
        <v>0</v>
      </c>
      <c r="P99" s="68">
        <f t="shared" si="49"/>
        <v>0</v>
      </c>
      <c r="Q99" s="68">
        <f t="shared" si="49"/>
        <v>0</v>
      </c>
      <c r="R99" s="68">
        <f t="shared" si="49"/>
        <v>0</v>
      </c>
    </row>
    <row r="100" spans="1:18" ht="38.25" hidden="1">
      <c r="A100" s="66" t="s">
        <v>251</v>
      </c>
      <c r="B100" s="41"/>
      <c r="C100" s="57" t="s">
        <v>253</v>
      </c>
      <c r="D100" s="68">
        <f>D101</f>
        <v>22</v>
      </c>
      <c r="E100" s="68">
        <f t="shared" si="49"/>
        <v>22</v>
      </c>
      <c r="F100" s="68">
        <f t="shared" si="49"/>
        <v>0</v>
      </c>
      <c r="G100" s="68">
        <f t="shared" si="49"/>
        <v>0</v>
      </c>
      <c r="H100" s="68">
        <f t="shared" si="49"/>
        <v>0</v>
      </c>
      <c r="I100" s="68">
        <f t="shared" si="49"/>
        <v>0</v>
      </c>
      <c r="J100" s="68">
        <f t="shared" si="49"/>
        <v>0</v>
      </c>
      <c r="K100" s="68">
        <f t="shared" si="49"/>
        <v>0</v>
      </c>
      <c r="L100" s="68">
        <f t="shared" si="49"/>
        <v>0</v>
      </c>
      <c r="M100" s="68">
        <f t="shared" si="49"/>
        <v>0</v>
      </c>
      <c r="N100" s="68">
        <f t="shared" si="49"/>
        <v>0</v>
      </c>
      <c r="O100" s="68">
        <f t="shared" si="49"/>
        <v>0</v>
      </c>
      <c r="P100" s="68">
        <f t="shared" si="49"/>
        <v>0</v>
      </c>
      <c r="Q100" s="68">
        <f t="shared" si="49"/>
        <v>0</v>
      </c>
      <c r="R100" s="68">
        <f t="shared" si="49"/>
        <v>0</v>
      </c>
    </row>
    <row r="101" spans="1:18" ht="25.5" hidden="1">
      <c r="A101" s="66" t="s">
        <v>252</v>
      </c>
      <c r="B101" s="41"/>
      <c r="C101" s="57" t="s">
        <v>254</v>
      </c>
      <c r="D101" s="68">
        <f>D102</f>
        <v>22</v>
      </c>
      <c r="E101" s="68">
        <f t="shared" si="49"/>
        <v>22</v>
      </c>
      <c r="F101" s="68">
        <f t="shared" si="49"/>
        <v>0</v>
      </c>
      <c r="G101" s="68">
        <f t="shared" si="49"/>
        <v>0</v>
      </c>
      <c r="H101" s="68">
        <f t="shared" si="49"/>
        <v>0</v>
      </c>
      <c r="I101" s="68">
        <f t="shared" si="49"/>
        <v>0</v>
      </c>
      <c r="J101" s="68">
        <f t="shared" si="49"/>
        <v>0</v>
      </c>
      <c r="K101" s="68">
        <f t="shared" si="49"/>
        <v>0</v>
      </c>
      <c r="L101" s="68">
        <f t="shared" si="49"/>
        <v>0</v>
      </c>
      <c r="M101" s="68">
        <f t="shared" si="49"/>
        <v>0</v>
      </c>
      <c r="N101" s="68">
        <f t="shared" si="49"/>
        <v>0</v>
      </c>
      <c r="O101" s="68">
        <f t="shared" si="49"/>
        <v>0</v>
      </c>
      <c r="P101" s="68">
        <f t="shared" si="49"/>
        <v>0</v>
      </c>
      <c r="Q101" s="68">
        <f t="shared" si="49"/>
        <v>0</v>
      </c>
      <c r="R101" s="68">
        <f t="shared" si="49"/>
        <v>0</v>
      </c>
    </row>
    <row r="102" spans="1:18" ht="25.5" hidden="1">
      <c r="A102" s="66"/>
      <c r="B102" s="41" t="s">
        <v>3</v>
      </c>
      <c r="C102" s="67" t="s">
        <v>95</v>
      </c>
      <c r="D102" s="68">
        <f>22</f>
        <v>22</v>
      </c>
      <c r="E102" s="64">
        <f>D102+SUM(F102:R102)</f>
        <v>22</v>
      </c>
      <c r="F102" s="68"/>
      <c r="G102" s="68"/>
      <c r="H102" s="69"/>
      <c r="I102" s="69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1:18" ht="51" hidden="1">
      <c r="A103" s="82" t="s">
        <v>255</v>
      </c>
      <c r="B103" s="41"/>
      <c r="C103" s="61" t="s">
        <v>120</v>
      </c>
      <c r="D103" s="68">
        <f>D104+D107</f>
        <v>700</v>
      </c>
      <c r="E103" s="68">
        <f aca="true" t="shared" si="50" ref="E103:R103">E104+E107</f>
        <v>700</v>
      </c>
      <c r="F103" s="68">
        <f t="shared" si="50"/>
        <v>0</v>
      </c>
      <c r="G103" s="68">
        <f t="shared" si="50"/>
        <v>0</v>
      </c>
      <c r="H103" s="68">
        <f t="shared" si="50"/>
        <v>0</v>
      </c>
      <c r="I103" s="68">
        <f t="shared" si="50"/>
        <v>0</v>
      </c>
      <c r="J103" s="68">
        <f t="shared" si="50"/>
        <v>0</v>
      </c>
      <c r="K103" s="68">
        <f t="shared" si="50"/>
        <v>0</v>
      </c>
      <c r="L103" s="68">
        <f t="shared" si="50"/>
        <v>0</v>
      </c>
      <c r="M103" s="68">
        <f t="shared" si="50"/>
        <v>0</v>
      </c>
      <c r="N103" s="68">
        <f t="shared" si="50"/>
        <v>0</v>
      </c>
      <c r="O103" s="68">
        <f t="shared" si="50"/>
        <v>0</v>
      </c>
      <c r="P103" s="68">
        <f>P104+P107</f>
        <v>0</v>
      </c>
      <c r="Q103" s="68">
        <f>Q104+Q107</f>
        <v>0</v>
      </c>
      <c r="R103" s="68">
        <f t="shared" si="50"/>
        <v>0</v>
      </c>
    </row>
    <row r="104" spans="1:18" ht="51" hidden="1">
      <c r="A104" s="66" t="s">
        <v>256</v>
      </c>
      <c r="B104" s="41"/>
      <c r="C104" s="57" t="s">
        <v>258</v>
      </c>
      <c r="D104" s="68">
        <f>D105</f>
        <v>700</v>
      </c>
      <c r="E104" s="68">
        <f aca="true" t="shared" si="51" ref="E104:R105">E105</f>
        <v>0</v>
      </c>
      <c r="F104" s="68">
        <f t="shared" si="51"/>
        <v>0</v>
      </c>
      <c r="G104" s="68">
        <f t="shared" si="51"/>
        <v>0</v>
      </c>
      <c r="H104" s="68">
        <f t="shared" si="51"/>
        <v>0</v>
      </c>
      <c r="I104" s="68">
        <f t="shared" si="51"/>
        <v>0</v>
      </c>
      <c r="J104" s="68">
        <f t="shared" si="51"/>
        <v>0</v>
      </c>
      <c r="K104" s="68">
        <f t="shared" si="51"/>
        <v>-700</v>
      </c>
      <c r="L104" s="68">
        <f t="shared" si="51"/>
        <v>0</v>
      </c>
      <c r="M104" s="68">
        <f t="shared" si="51"/>
        <v>0</v>
      </c>
      <c r="N104" s="68">
        <f t="shared" si="51"/>
        <v>0</v>
      </c>
      <c r="O104" s="68">
        <f t="shared" si="51"/>
        <v>0</v>
      </c>
      <c r="P104" s="68">
        <f t="shared" si="51"/>
        <v>0</v>
      </c>
      <c r="Q104" s="68">
        <f t="shared" si="51"/>
        <v>0</v>
      </c>
      <c r="R104" s="68">
        <f t="shared" si="51"/>
        <v>0</v>
      </c>
    </row>
    <row r="105" spans="1:18" ht="76.5" hidden="1">
      <c r="A105" s="66" t="s">
        <v>257</v>
      </c>
      <c r="B105" s="41"/>
      <c r="C105" s="57" t="s">
        <v>259</v>
      </c>
      <c r="D105" s="68">
        <f>D106</f>
        <v>700</v>
      </c>
      <c r="E105" s="68">
        <f t="shared" si="51"/>
        <v>0</v>
      </c>
      <c r="F105" s="68">
        <f t="shared" si="51"/>
        <v>0</v>
      </c>
      <c r="G105" s="68">
        <f t="shared" si="51"/>
        <v>0</v>
      </c>
      <c r="H105" s="68">
        <f t="shared" si="51"/>
        <v>0</v>
      </c>
      <c r="I105" s="68">
        <f t="shared" si="51"/>
        <v>0</v>
      </c>
      <c r="J105" s="68">
        <f t="shared" si="51"/>
        <v>0</v>
      </c>
      <c r="K105" s="68">
        <f t="shared" si="51"/>
        <v>-700</v>
      </c>
      <c r="L105" s="68">
        <f t="shared" si="51"/>
        <v>0</v>
      </c>
      <c r="M105" s="68">
        <f t="shared" si="51"/>
        <v>0</v>
      </c>
      <c r="N105" s="68">
        <f t="shared" si="51"/>
        <v>0</v>
      </c>
      <c r="O105" s="68">
        <f t="shared" si="51"/>
        <v>0</v>
      </c>
      <c r="P105" s="68">
        <f t="shared" si="51"/>
        <v>0</v>
      </c>
      <c r="Q105" s="68">
        <f t="shared" si="51"/>
        <v>0</v>
      </c>
      <c r="R105" s="68">
        <f t="shared" si="51"/>
        <v>0</v>
      </c>
    </row>
    <row r="106" spans="1:18" ht="25.5" hidden="1">
      <c r="A106" s="66"/>
      <c r="B106" s="41" t="s">
        <v>3</v>
      </c>
      <c r="C106" s="67" t="s">
        <v>95</v>
      </c>
      <c r="D106" s="68">
        <v>700</v>
      </c>
      <c r="E106" s="64">
        <f>D106+SUM(F106:R106)</f>
        <v>0</v>
      </c>
      <c r="F106" s="68">
        <f>428.223-428.223</f>
        <v>0</v>
      </c>
      <c r="G106" s="68"/>
      <c r="H106" s="69"/>
      <c r="I106" s="69"/>
      <c r="J106" s="68"/>
      <c r="K106" s="79">
        <f>-428.223-271.777</f>
        <v>-700</v>
      </c>
      <c r="L106" s="68"/>
      <c r="M106" s="68"/>
      <c r="N106" s="68"/>
      <c r="O106" s="68"/>
      <c r="P106" s="68"/>
      <c r="Q106" s="68"/>
      <c r="R106" s="68"/>
    </row>
    <row r="107" spans="1:18" ht="51" hidden="1">
      <c r="A107" s="66" t="s">
        <v>256</v>
      </c>
      <c r="B107" s="41"/>
      <c r="C107" s="67" t="s">
        <v>545</v>
      </c>
      <c r="D107" s="68">
        <f>D108</f>
        <v>0</v>
      </c>
      <c r="E107" s="68">
        <f aca="true" t="shared" si="52" ref="E107:R108">E108</f>
        <v>700</v>
      </c>
      <c r="F107" s="68">
        <f t="shared" si="52"/>
        <v>0</v>
      </c>
      <c r="G107" s="68">
        <f t="shared" si="52"/>
        <v>0</v>
      </c>
      <c r="H107" s="68">
        <f t="shared" si="52"/>
        <v>0</v>
      </c>
      <c r="I107" s="68">
        <f t="shared" si="52"/>
        <v>0</v>
      </c>
      <c r="J107" s="68">
        <f t="shared" si="52"/>
        <v>0</v>
      </c>
      <c r="K107" s="79">
        <f t="shared" si="52"/>
        <v>700</v>
      </c>
      <c r="L107" s="68">
        <f t="shared" si="52"/>
        <v>0</v>
      </c>
      <c r="M107" s="68">
        <f t="shared" si="52"/>
        <v>0</v>
      </c>
      <c r="N107" s="68">
        <f t="shared" si="52"/>
        <v>0</v>
      </c>
      <c r="O107" s="68">
        <f t="shared" si="52"/>
        <v>0</v>
      </c>
      <c r="P107" s="68">
        <f t="shared" si="52"/>
        <v>0</v>
      </c>
      <c r="Q107" s="68">
        <f t="shared" si="52"/>
        <v>0</v>
      </c>
      <c r="R107" s="68">
        <f t="shared" si="52"/>
        <v>0</v>
      </c>
    </row>
    <row r="108" spans="1:18" ht="76.5" hidden="1">
      <c r="A108" s="66" t="s">
        <v>257</v>
      </c>
      <c r="B108" s="41"/>
      <c r="C108" s="67" t="s">
        <v>546</v>
      </c>
      <c r="D108" s="68">
        <f>D109</f>
        <v>0</v>
      </c>
      <c r="E108" s="68">
        <f t="shared" si="52"/>
        <v>700</v>
      </c>
      <c r="F108" s="68">
        <f t="shared" si="52"/>
        <v>0</v>
      </c>
      <c r="G108" s="68">
        <f t="shared" si="52"/>
        <v>0</v>
      </c>
      <c r="H108" s="68">
        <f t="shared" si="52"/>
        <v>0</v>
      </c>
      <c r="I108" s="68">
        <f t="shared" si="52"/>
        <v>0</v>
      </c>
      <c r="J108" s="68">
        <f t="shared" si="52"/>
        <v>0</v>
      </c>
      <c r="K108" s="79">
        <f t="shared" si="52"/>
        <v>700</v>
      </c>
      <c r="L108" s="68">
        <f t="shared" si="52"/>
        <v>0</v>
      </c>
      <c r="M108" s="68">
        <f t="shared" si="52"/>
        <v>0</v>
      </c>
      <c r="N108" s="68">
        <f t="shared" si="52"/>
        <v>0</v>
      </c>
      <c r="O108" s="68">
        <f t="shared" si="52"/>
        <v>0</v>
      </c>
      <c r="P108" s="68">
        <f t="shared" si="52"/>
        <v>0</v>
      </c>
      <c r="Q108" s="68">
        <f t="shared" si="52"/>
        <v>0</v>
      </c>
      <c r="R108" s="68">
        <f t="shared" si="52"/>
        <v>0</v>
      </c>
    </row>
    <row r="109" spans="1:18" ht="25.5" hidden="1">
      <c r="A109" s="66"/>
      <c r="B109" s="41" t="s">
        <v>3</v>
      </c>
      <c r="C109" s="67" t="s">
        <v>95</v>
      </c>
      <c r="D109" s="68"/>
      <c r="E109" s="64">
        <f>D109+SUM(F109:R109)</f>
        <v>700</v>
      </c>
      <c r="F109" s="68"/>
      <c r="G109" s="68"/>
      <c r="H109" s="69"/>
      <c r="I109" s="69"/>
      <c r="J109" s="68"/>
      <c r="K109" s="79">
        <f>428.223+271.777</f>
        <v>700</v>
      </c>
      <c r="L109" s="68"/>
      <c r="M109" s="68"/>
      <c r="N109" s="68"/>
      <c r="O109" s="68"/>
      <c r="P109" s="68"/>
      <c r="Q109" s="68"/>
      <c r="R109" s="68"/>
    </row>
    <row r="110" spans="1:18" ht="38.25" hidden="1">
      <c r="A110" s="63" t="s">
        <v>260</v>
      </c>
      <c r="B110" s="11"/>
      <c r="C110" s="60" t="s">
        <v>439</v>
      </c>
      <c r="D110" s="73">
        <f>D111</f>
        <v>31</v>
      </c>
      <c r="E110" s="73">
        <f aca="true" t="shared" si="53" ref="E110:R112">E111</f>
        <v>57.6</v>
      </c>
      <c r="F110" s="73">
        <f t="shared" si="53"/>
        <v>0</v>
      </c>
      <c r="G110" s="73">
        <f t="shared" si="53"/>
        <v>0</v>
      </c>
      <c r="H110" s="73">
        <f t="shared" si="53"/>
        <v>0</v>
      </c>
      <c r="I110" s="73">
        <f t="shared" si="53"/>
        <v>0</v>
      </c>
      <c r="J110" s="73">
        <f t="shared" si="53"/>
        <v>0</v>
      </c>
      <c r="K110" s="73">
        <f t="shared" si="53"/>
        <v>0</v>
      </c>
      <c r="L110" s="73">
        <f t="shared" si="53"/>
        <v>0</v>
      </c>
      <c r="M110" s="73">
        <f t="shared" si="53"/>
        <v>0</v>
      </c>
      <c r="N110" s="73">
        <f t="shared" si="53"/>
        <v>0</v>
      </c>
      <c r="O110" s="73">
        <f t="shared" si="53"/>
        <v>26.6</v>
      </c>
      <c r="P110" s="73">
        <f t="shared" si="53"/>
        <v>0</v>
      </c>
      <c r="Q110" s="73">
        <f t="shared" si="53"/>
        <v>0</v>
      </c>
      <c r="R110" s="73">
        <f t="shared" si="53"/>
        <v>0</v>
      </c>
    </row>
    <row r="111" spans="1:18" ht="38.25" hidden="1">
      <c r="A111" s="82" t="s">
        <v>261</v>
      </c>
      <c r="B111" s="99"/>
      <c r="C111" s="61" t="s">
        <v>485</v>
      </c>
      <c r="D111" s="68">
        <f>D112</f>
        <v>31</v>
      </c>
      <c r="E111" s="68">
        <f t="shared" si="53"/>
        <v>57.6</v>
      </c>
      <c r="F111" s="68">
        <f t="shared" si="53"/>
        <v>0</v>
      </c>
      <c r="G111" s="68">
        <f t="shared" si="53"/>
        <v>0</v>
      </c>
      <c r="H111" s="68">
        <f t="shared" si="53"/>
        <v>0</v>
      </c>
      <c r="I111" s="68">
        <f t="shared" si="53"/>
        <v>0</v>
      </c>
      <c r="J111" s="68">
        <f t="shared" si="53"/>
        <v>0</v>
      </c>
      <c r="K111" s="68">
        <f t="shared" si="53"/>
        <v>0</v>
      </c>
      <c r="L111" s="68">
        <f t="shared" si="53"/>
        <v>0</v>
      </c>
      <c r="M111" s="68">
        <f t="shared" si="53"/>
        <v>0</v>
      </c>
      <c r="N111" s="68">
        <f t="shared" si="53"/>
        <v>0</v>
      </c>
      <c r="O111" s="68">
        <f t="shared" si="53"/>
        <v>26.6</v>
      </c>
      <c r="P111" s="68">
        <f t="shared" si="53"/>
        <v>0</v>
      </c>
      <c r="Q111" s="68">
        <f t="shared" si="53"/>
        <v>0</v>
      </c>
      <c r="R111" s="68">
        <f t="shared" si="53"/>
        <v>0</v>
      </c>
    </row>
    <row r="112" spans="1:18" ht="25.5" hidden="1">
      <c r="A112" s="66" t="s">
        <v>262</v>
      </c>
      <c r="B112" s="41"/>
      <c r="C112" s="57" t="s">
        <v>264</v>
      </c>
      <c r="D112" s="68">
        <f>D113</f>
        <v>31</v>
      </c>
      <c r="E112" s="68">
        <f t="shared" si="53"/>
        <v>57.6</v>
      </c>
      <c r="F112" s="68">
        <f t="shared" si="53"/>
        <v>0</v>
      </c>
      <c r="G112" s="68">
        <f t="shared" si="53"/>
        <v>0</v>
      </c>
      <c r="H112" s="68">
        <f t="shared" si="53"/>
        <v>0</v>
      </c>
      <c r="I112" s="68">
        <f t="shared" si="53"/>
        <v>0</v>
      </c>
      <c r="J112" s="68">
        <f t="shared" si="53"/>
        <v>0</v>
      </c>
      <c r="K112" s="68">
        <f t="shared" si="53"/>
        <v>0</v>
      </c>
      <c r="L112" s="68">
        <f t="shared" si="53"/>
        <v>0</v>
      </c>
      <c r="M112" s="68">
        <f t="shared" si="53"/>
        <v>0</v>
      </c>
      <c r="N112" s="68">
        <f t="shared" si="53"/>
        <v>0</v>
      </c>
      <c r="O112" s="68">
        <f t="shared" si="53"/>
        <v>26.6</v>
      </c>
      <c r="P112" s="68">
        <f t="shared" si="53"/>
        <v>0</v>
      </c>
      <c r="Q112" s="68">
        <f t="shared" si="53"/>
        <v>0</v>
      </c>
      <c r="R112" s="68">
        <f t="shared" si="53"/>
        <v>0</v>
      </c>
    </row>
    <row r="113" spans="1:18" ht="25.5" hidden="1">
      <c r="A113" s="66"/>
      <c r="B113" s="41" t="s">
        <v>3</v>
      </c>
      <c r="C113" s="67" t="s">
        <v>95</v>
      </c>
      <c r="D113" s="68">
        <f>10+21</f>
        <v>31</v>
      </c>
      <c r="E113" s="64">
        <f>D113+SUM(F113:R113)</f>
        <v>57.6</v>
      </c>
      <c r="F113" s="68"/>
      <c r="G113" s="68"/>
      <c r="H113" s="69"/>
      <c r="I113" s="69"/>
      <c r="J113" s="68"/>
      <c r="K113" s="68"/>
      <c r="L113" s="68"/>
      <c r="M113" s="68"/>
      <c r="N113" s="68"/>
      <c r="O113" s="68">
        <v>26.6</v>
      </c>
      <c r="P113" s="68"/>
      <c r="Q113" s="68"/>
      <c r="R113" s="68"/>
    </row>
    <row r="114" spans="1:18" ht="51">
      <c r="A114" s="63" t="s">
        <v>265</v>
      </c>
      <c r="B114" s="11"/>
      <c r="C114" s="60" t="s">
        <v>121</v>
      </c>
      <c r="D114" s="73">
        <f>D115+D124</f>
        <v>670</v>
      </c>
      <c r="E114" s="73">
        <f aca="true" t="shared" si="54" ref="E114:R114">E115+E124</f>
        <v>920</v>
      </c>
      <c r="F114" s="73">
        <f t="shared" si="54"/>
        <v>0</v>
      </c>
      <c r="G114" s="73">
        <f t="shared" si="54"/>
        <v>0</v>
      </c>
      <c r="H114" s="73">
        <f t="shared" si="54"/>
        <v>0</v>
      </c>
      <c r="I114" s="73">
        <f t="shared" si="54"/>
        <v>0</v>
      </c>
      <c r="J114" s="73">
        <f t="shared" si="54"/>
        <v>62.5</v>
      </c>
      <c r="K114" s="73">
        <f t="shared" si="54"/>
        <v>0</v>
      </c>
      <c r="L114" s="73">
        <f t="shared" si="54"/>
        <v>0</v>
      </c>
      <c r="M114" s="73">
        <f t="shared" si="54"/>
        <v>187.5</v>
      </c>
      <c r="N114" s="73">
        <f t="shared" si="54"/>
        <v>0</v>
      </c>
      <c r="O114" s="73">
        <f t="shared" si="54"/>
        <v>0</v>
      </c>
      <c r="P114" s="73">
        <f>P115+P124</f>
        <v>0</v>
      </c>
      <c r="Q114" s="73">
        <f>Q115+Q124</f>
        <v>0</v>
      </c>
      <c r="R114" s="73">
        <f t="shared" si="54"/>
        <v>0</v>
      </c>
    </row>
    <row r="115" spans="1:18" ht="25.5">
      <c r="A115" s="82" t="s">
        <v>266</v>
      </c>
      <c r="B115" s="99"/>
      <c r="C115" s="61" t="s">
        <v>268</v>
      </c>
      <c r="D115" s="68">
        <f>D116+D121+D119</f>
        <v>600</v>
      </c>
      <c r="E115" s="68">
        <f aca="true" t="shared" si="55" ref="E115:R115">E116+E121+E119</f>
        <v>850</v>
      </c>
      <c r="F115" s="68">
        <f t="shared" si="55"/>
        <v>0</v>
      </c>
      <c r="G115" s="68">
        <f t="shared" si="55"/>
        <v>0</v>
      </c>
      <c r="H115" s="68">
        <f t="shared" si="55"/>
        <v>0</v>
      </c>
      <c r="I115" s="68">
        <f t="shared" si="55"/>
        <v>0</v>
      </c>
      <c r="J115" s="68">
        <f t="shared" si="55"/>
        <v>62.5</v>
      </c>
      <c r="K115" s="68">
        <f t="shared" si="55"/>
        <v>0</v>
      </c>
      <c r="L115" s="68">
        <f t="shared" si="55"/>
        <v>0</v>
      </c>
      <c r="M115" s="68">
        <f t="shared" si="55"/>
        <v>187.5</v>
      </c>
      <c r="N115" s="68">
        <f t="shared" si="55"/>
        <v>0</v>
      </c>
      <c r="O115" s="68">
        <f t="shared" si="55"/>
        <v>0</v>
      </c>
      <c r="P115" s="68">
        <f>P116+P121+P119</f>
        <v>0</v>
      </c>
      <c r="Q115" s="68">
        <f>Q116+Q121+Q119</f>
        <v>0</v>
      </c>
      <c r="R115" s="68">
        <f t="shared" si="55"/>
        <v>0</v>
      </c>
    </row>
    <row r="116" spans="1:18" ht="25.5" hidden="1">
      <c r="A116" s="66" t="s">
        <v>267</v>
      </c>
      <c r="B116" s="41"/>
      <c r="C116" s="57" t="s">
        <v>269</v>
      </c>
      <c r="D116" s="68">
        <f>D117+D118</f>
        <v>600</v>
      </c>
      <c r="E116" s="68">
        <f aca="true" t="shared" si="56" ref="E116:R116">E117+E118</f>
        <v>600</v>
      </c>
      <c r="F116" s="68">
        <f t="shared" si="56"/>
        <v>0</v>
      </c>
      <c r="G116" s="68">
        <f t="shared" si="56"/>
        <v>0</v>
      </c>
      <c r="H116" s="68">
        <f t="shared" si="56"/>
        <v>0</v>
      </c>
      <c r="I116" s="68">
        <f t="shared" si="56"/>
        <v>0</v>
      </c>
      <c r="J116" s="68">
        <f t="shared" si="56"/>
        <v>0</v>
      </c>
      <c r="K116" s="68">
        <f t="shared" si="56"/>
        <v>0</v>
      </c>
      <c r="L116" s="68">
        <f t="shared" si="56"/>
        <v>0</v>
      </c>
      <c r="M116" s="68">
        <f t="shared" si="56"/>
        <v>0</v>
      </c>
      <c r="N116" s="68">
        <f t="shared" si="56"/>
        <v>0</v>
      </c>
      <c r="O116" s="68">
        <f t="shared" si="56"/>
        <v>0</v>
      </c>
      <c r="P116" s="68">
        <f>P117+P118</f>
        <v>0</v>
      </c>
      <c r="Q116" s="68">
        <f>Q117+Q118</f>
        <v>0</v>
      </c>
      <c r="R116" s="68">
        <f t="shared" si="56"/>
        <v>0</v>
      </c>
    </row>
    <row r="117" spans="1:18" ht="25.5" hidden="1">
      <c r="A117" s="66"/>
      <c r="B117" s="41" t="s">
        <v>3</v>
      </c>
      <c r="C117" s="67" t="s">
        <v>95</v>
      </c>
      <c r="D117" s="68"/>
      <c r="E117" s="64">
        <f>D117+SUM(F117:R117)</f>
        <v>0</v>
      </c>
      <c r="F117" s="68"/>
      <c r="G117" s="68"/>
      <c r="H117" s="69"/>
      <c r="I117" s="69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1:18" ht="12.75" hidden="1">
      <c r="A118" s="66"/>
      <c r="B118" s="41" t="s">
        <v>4</v>
      </c>
      <c r="C118" s="67" t="s">
        <v>5</v>
      </c>
      <c r="D118" s="76">
        <f>100+500</f>
        <v>600</v>
      </c>
      <c r="E118" s="64">
        <f>D118+SUM(F118:R118)</f>
        <v>600</v>
      </c>
      <c r="F118" s="68"/>
      <c r="G118" s="68"/>
      <c r="H118" s="69"/>
      <c r="I118" s="69"/>
      <c r="J118" s="68"/>
      <c r="K118" s="70"/>
      <c r="L118" s="68"/>
      <c r="M118" s="68"/>
      <c r="N118" s="68"/>
      <c r="O118" s="68"/>
      <c r="P118" s="68"/>
      <c r="Q118" s="68"/>
      <c r="R118" s="68"/>
    </row>
    <row r="119" spans="1:18" ht="38.25">
      <c r="A119" s="66" t="s">
        <v>467</v>
      </c>
      <c r="B119" s="41"/>
      <c r="C119" s="67" t="s">
        <v>460</v>
      </c>
      <c r="D119" s="76">
        <f>D120</f>
        <v>0</v>
      </c>
      <c r="E119" s="76">
        <f aca="true" t="shared" si="57" ref="E119:R119">E120</f>
        <v>0</v>
      </c>
      <c r="F119" s="76">
        <f t="shared" si="57"/>
        <v>0</v>
      </c>
      <c r="G119" s="76">
        <f t="shared" si="57"/>
        <v>0</v>
      </c>
      <c r="H119" s="76">
        <f t="shared" si="57"/>
        <v>0</v>
      </c>
      <c r="I119" s="76">
        <f t="shared" si="57"/>
        <v>0</v>
      </c>
      <c r="J119" s="76">
        <f t="shared" si="57"/>
        <v>0</v>
      </c>
      <c r="K119" s="76">
        <f t="shared" si="57"/>
        <v>0</v>
      </c>
      <c r="L119" s="76">
        <f t="shared" si="57"/>
        <v>0</v>
      </c>
      <c r="M119" s="76">
        <f t="shared" si="57"/>
        <v>187.5</v>
      </c>
      <c r="N119" s="76">
        <f t="shared" si="57"/>
        <v>0</v>
      </c>
      <c r="O119" s="76">
        <f t="shared" si="57"/>
        <v>0</v>
      </c>
      <c r="P119" s="76">
        <f t="shared" si="57"/>
        <v>0</v>
      </c>
      <c r="Q119" s="76">
        <f t="shared" si="57"/>
        <v>-187.5</v>
      </c>
      <c r="R119" s="76">
        <f t="shared" si="57"/>
        <v>0</v>
      </c>
    </row>
    <row r="120" spans="1:18" ht="25.5">
      <c r="A120" s="66"/>
      <c r="B120" s="41" t="s">
        <v>3</v>
      </c>
      <c r="C120" s="67" t="s">
        <v>95</v>
      </c>
      <c r="D120" s="76"/>
      <c r="E120" s="64">
        <f>D120+SUM(F120:R120)</f>
        <v>0</v>
      </c>
      <c r="F120" s="68"/>
      <c r="G120" s="68"/>
      <c r="H120" s="69"/>
      <c r="I120" s="69"/>
      <c r="J120" s="68"/>
      <c r="K120" s="70"/>
      <c r="L120" s="68"/>
      <c r="M120" s="68">
        <v>187.5</v>
      </c>
      <c r="N120" s="68"/>
      <c r="O120" s="68"/>
      <c r="P120" s="68"/>
      <c r="Q120" s="68">
        <v>-187.5</v>
      </c>
      <c r="R120" s="68"/>
    </row>
    <row r="121" spans="1:18" ht="38.25">
      <c r="A121" s="66" t="s">
        <v>459</v>
      </c>
      <c r="B121" s="41"/>
      <c r="C121" s="57" t="s">
        <v>460</v>
      </c>
      <c r="D121" s="76">
        <f aca="true" t="shared" si="58" ref="D121:Q121">D122+D123</f>
        <v>0</v>
      </c>
      <c r="E121" s="76">
        <f t="shared" si="58"/>
        <v>250</v>
      </c>
      <c r="F121" s="76">
        <f t="shared" si="58"/>
        <v>0</v>
      </c>
      <c r="G121" s="76">
        <f t="shared" si="58"/>
        <v>0</v>
      </c>
      <c r="H121" s="76">
        <f t="shared" si="58"/>
        <v>0</v>
      </c>
      <c r="I121" s="76">
        <f t="shared" si="58"/>
        <v>0</v>
      </c>
      <c r="J121" s="76">
        <f t="shared" si="58"/>
        <v>62.5</v>
      </c>
      <c r="K121" s="76">
        <f t="shared" si="58"/>
        <v>0</v>
      </c>
      <c r="L121" s="76">
        <f t="shared" si="58"/>
        <v>0</v>
      </c>
      <c r="M121" s="76">
        <f t="shared" si="58"/>
        <v>0</v>
      </c>
      <c r="N121" s="76">
        <f t="shared" si="58"/>
        <v>0</v>
      </c>
      <c r="O121" s="76">
        <f t="shared" si="58"/>
        <v>0</v>
      </c>
      <c r="P121" s="76">
        <f t="shared" si="58"/>
        <v>0</v>
      </c>
      <c r="Q121" s="76">
        <f t="shared" si="58"/>
        <v>187.5</v>
      </c>
      <c r="R121" s="68"/>
    </row>
    <row r="122" spans="1:18" ht="25.5">
      <c r="A122" s="66"/>
      <c r="B122" s="41" t="s">
        <v>3</v>
      </c>
      <c r="C122" s="67" t="s">
        <v>95</v>
      </c>
      <c r="D122" s="76"/>
      <c r="E122" s="64">
        <f>D122+SUM(F122:R122)</f>
        <v>250</v>
      </c>
      <c r="F122" s="68"/>
      <c r="G122" s="68"/>
      <c r="H122" s="69"/>
      <c r="I122" s="69"/>
      <c r="J122" s="68">
        <v>62.5</v>
      </c>
      <c r="K122" s="70"/>
      <c r="L122" s="68"/>
      <c r="M122" s="68"/>
      <c r="N122" s="68"/>
      <c r="O122" s="68"/>
      <c r="P122" s="68"/>
      <c r="Q122" s="68">
        <v>187.5</v>
      </c>
      <c r="R122" s="68"/>
    </row>
    <row r="123" spans="1:18" ht="25.5" hidden="1">
      <c r="A123" s="66"/>
      <c r="B123" s="41" t="s">
        <v>11</v>
      </c>
      <c r="C123" s="67" t="s">
        <v>12</v>
      </c>
      <c r="D123" s="76"/>
      <c r="E123" s="64">
        <f>D123+SUM(F123:R123)</f>
        <v>0</v>
      </c>
      <c r="F123" s="68"/>
      <c r="G123" s="68"/>
      <c r="H123" s="69"/>
      <c r="I123" s="69"/>
      <c r="J123" s="68"/>
      <c r="K123" s="70"/>
      <c r="L123" s="68"/>
      <c r="M123" s="68"/>
      <c r="N123" s="68"/>
      <c r="O123" s="68"/>
      <c r="P123" s="68"/>
      <c r="Q123" s="68"/>
      <c r="R123" s="68"/>
    </row>
    <row r="124" spans="1:18" ht="25.5" hidden="1">
      <c r="A124" s="99" t="s">
        <v>270</v>
      </c>
      <c r="B124" s="99"/>
      <c r="C124" s="61" t="s">
        <v>122</v>
      </c>
      <c r="D124" s="68">
        <f>D125</f>
        <v>70</v>
      </c>
      <c r="E124" s="68">
        <f aca="true" t="shared" si="59" ref="E124:R125">E125</f>
        <v>70</v>
      </c>
      <c r="F124" s="68">
        <f t="shared" si="59"/>
        <v>0</v>
      </c>
      <c r="G124" s="68">
        <f t="shared" si="59"/>
        <v>0</v>
      </c>
      <c r="H124" s="68">
        <f t="shared" si="59"/>
        <v>0</v>
      </c>
      <c r="I124" s="68">
        <f t="shared" si="59"/>
        <v>0</v>
      </c>
      <c r="J124" s="68">
        <f t="shared" si="59"/>
        <v>0</v>
      </c>
      <c r="K124" s="68">
        <f t="shared" si="59"/>
        <v>0</v>
      </c>
      <c r="L124" s="68">
        <f t="shared" si="59"/>
        <v>0</v>
      </c>
      <c r="M124" s="68">
        <f t="shared" si="59"/>
        <v>0</v>
      </c>
      <c r="N124" s="68">
        <f t="shared" si="59"/>
        <v>0</v>
      </c>
      <c r="O124" s="68">
        <f t="shared" si="59"/>
        <v>0</v>
      </c>
      <c r="P124" s="68">
        <f t="shared" si="59"/>
        <v>0</v>
      </c>
      <c r="Q124" s="68">
        <f t="shared" si="59"/>
        <v>0</v>
      </c>
      <c r="R124" s="68">
        <f t="shared" si="59"/>
        <v>0</v>
      </c>
    </row>
    <row r="125" spans="1:18" ht="38.25" hidden="1">
      <c r="A125" s="41" t="s">
        <v>271</v>
      </c>
      <c r="B125" s="41"/>
      <c r="C125" s="57" t="s">
        <v>272</v>
      </c>
      <c r="D125" s="68">
        <f>D126</f>
        <v>70</v>
      </c>
      <c r="E125" s="68">
        <f t="shared" si="59"/>
        <v>70</v>
      </c>
      <c r="F125" s="68">
        <f t="shared" si="59"/>
        <v>0</v>
      </c>
      <c r="G125" s="68">
        <f t="shared" si="59"/>
        <v>0</v>
      </c>
      <c r="H125" s="68">
        <f t="shared" si="59"/>
        <v>0</v>
      </c>
      <c r="I125" s="68">
        <f t="shared" si="59"/>
        <v>0</v>
      </c>
      <c r="J125" s="68">
        <f t="shared" si="59"/>
        <v>0</v>
      </c>
      <c r="K125" s="68">
        <f t="shared" si="59"/>
        <v>0</v>
      </c>
      <c r="L125" s="68">
        <f t="shared" si="59"/>
        <v>0</v>
      </c>
      <c r="M125" s="68">
        <f t="shared" si="59"/>
        <v>0</v>
      </c>
      <c r="N125" s="68">
        <f t="shared" si="59"/>
        <v>0</v>
      </c>
      <c r="O125" s="68">
        <f t="shared" si="59"/>
        <v>0</v>
      </c>
      <c r="P125" s="68">
        <f t="shared" si="59"/>
        <v>0</v>
      </c>
      <c r="Q125" s="68">
        <f t="shared" si="59"/>
        <v>0</v>
      </c>
      <c r="R125" s="68">
        <f t="shared" si="59"/>
        <v>0</v>
      </c>
    </row>
    <row r="126" spans="1:18" ht="25.5" hidden="1">
      <c r="A126" s="66"/>
      <c r="B126" s="41" t="s">
        <v>11</v>
      </c>
      <c r="C126" s="67" t="s">
        <v>12</v>
      </c>
      <c r="D126" s="68">
        <v>70</v>
      </c>
      <c r="E126" s="64">
        <f>D126+SUM(F126:R126)</f>
        <v>70</v>
      </c>
      <c r="F126" s="68"/>
      <c r="G126" s="68"/>
      <c r="H126" s="69"/>
      <c r="I126" s="69"/>
      <c r="J126" s="68"/>
      <c r="K126" s="68"/>
      <c r="L126" s="68"/>
      <c r="M126" s="68"/>
      <c r="N126" s="68"/>
      <c r="O126" s="68"/>
      <c r="P126" s="68"/>
      <c r="Q126" s="68"/>
      <c r="R126" s="68"/>
    </row>
    <row r="127" spans="1:18" ht="63.75">
      <c r="A127" s="63" t="s">
        <v>273</v>
      </c>
      <c r="B127" s="11"/>
      <c r="C127" s="60" t="s">
        <v>123</v>
      </c>
      <c r="D127" s="73">
        <f>D128+D144+D151+D161+D168+D178</f>
        <v>46915</v>
      </c>
      <c r="E127" s="73">
        <f aca="true" t="shared" si="60" ref="E127:R127">E128+E144+E151+E161+E168+E178</f>
        <v>50140.2</v>
      </c>
      <c r="F127" s="73">
        <f t="shared" si="60"/>
        <v>0</v>
      </c>
      <c r="G127" s="73">
        <f t="shared" si="60"/>
        <v>395</v>
      </c>
      <c r="H127" s="73">
        <f t="shared" si="60"/>
        <v>1506.1999999999998</v>
      </c>
      <c r="I127" s="73">
        <f t="shared" si="60"/>
        <v>0</v>
      </c>
      <c r="J127" s="73">
        <f t="shared" si="60"/>
        <v>0</v>
      </c>
      <c r="K127" s="73">
        <f t="shared" si="60"/>
        <v>64</v>
      </c>
      <c r="L127" s="73">
        <f t="shared" si="60"/>
        <v>300</v>
      </c>
      <c r="M127" s="73">
        <f t="shared" si="60"/>
        <v>0</v>
      </c>
      <c r="N127" s="73">
        <f t="shared" si="60"/>
        <v>0</v>
      </c>
      <c r="O127" s="73">
        <f t="shared" si="60"/>
        <v>100</v>
      </c>
      <c r="P127" s="73">
        <f>P128+P144+P151+P161+P168+P178</f>
        <v>300</v>
      </c>
      <c r="Q127" s="73">
        <f>Q128+Q144+Q151+Q161+Q168+Q178</f>
        <v>560</v>
      </c>
      <c r="R127" s="73">
        <f t="shared" si="60"/>
        <v>0</v>
      </c>
    </row>
    <row r="128" spans="1:18" ht="12.75">
      <c r="A128" s="82" t="s">
        <v>274</v>
      </c>
      <c r="B128" s="41"/>
      <c r="C128" s="61" t="s">
        <v>124</v>
      </c>
      <c r="D128" s="68">
        <f>D129+D132+D135+D138+D141</f>
        <v>23312.3</v>
      </c>
      <c r="E128" s="68">
        <f aca="true" t="shared" si="61" ref="E128:R128">E129+E132+E135+E138+E141</f>
        <v>24786.3</v>
      </c>
      <c r="F128" s="68">
        <f t="shared" si="61"/>
        <v>0</v>
      </c>
      <c r="G128" s="68">
        <f t="shared" si="61"/>
        <v>395</v>
      </c>
      <c r="H128" s="68">
        <f t="shared" si="61"/>
        <v>0</v>
      </c>
      <c r="I128" s="68">
        <f t="shared" si="61"/>
        <v>0</v>
      </c>
      <c r="J128" s="68">
        <f t="shared" si="61"/>
        <v>0</v>
      </c>
      <c r="K128" s="68">
        <f t="shared" si="61"/>
        <v>34</v>
      </c>
      <c r="L128" s="68">
        <f t="shared" si="61"/>
        <v>300</v>
      </c>
      <c r="M128" s="68">
        <f t="shared" si="61"/>
        <v>0</v>
      </c>
      <c r="N128" s="68">
        <f t="shared" si="61"/>
        <v>0</v>
      </c>
      <c r="O128" s="68">
        <f t="shared" si="61"/>
        <v>45</v>
      </c>
      <c r="P128" s="68">
        <f>P129+P132+P135+P138+P141</f>
        <v>300</v>
      </c>
      <c r="Q128" s="68">
        <f>Q129+Q132+Q135+Q138+Q141</f>
        <v>400</v>
      </c>
      <c r="R128" s="68">
        <f t="shared" si="61"/>
        <v>0</v>
      </c>
    </row>
    <row r="129" spans="1:18" ht="38.25" hidden="1">
      <c r="A129" s="66" t="s">
        <v>275</v>
      </c>
      <c r="B129" s="41"/>
      <c r="C129" s="57" t="s">
        <v>277</v>
      </c>
      <c r="D129" s="68">
        <f>D130</f>
        <v>10124.6</v>
      </c>
      <c r="E129" s="68">
        <f aca="true" t="shared" si="62" ref="E129:R130">E130</f>
        <v>10469.6</v>
      </c>
      <c r="F129" s="68">
        <f t="shared" si="62"/>
        <v>0</v>
      </c>
      <c r="G129" s="68">
        <f t="shared" si="62"/>
        <v>0</v>
      </c>
      <c r="H129" s="68">
        <f t="shared" si="62"/>
        <v>0</v>
      </c>
      <c r="I129" s="68">
        <f t="shared" si="62"/>
        <v>0</v>
      </c>
      <c r="J129" s="68">
        <f t="shared" si="62"/>
        <v>0</v>
      </c>
      <c r="K129" s="68">
        <f t="shared" si="62"/>
        <v>0</v>
      </c>
      <c r="L129" s="68">
        <f t="shared" si="62"/>
        <v>0</v>
      </c>
      <c r="M129" s="68">
        <f t="shared" si="62"/>
        <v>0</v>
      </c>
      <c r="N129" s="68">
        <f t="shared" si="62"/>
        <v>0</v>
      </c>
      <c r="O129" s="68">
        <f t="shared" si="62"/>
        <v>45</v>
      </c>
      <c r="P129" s="68">
        <f t="shared" si="62"/>
        <v>300</v>
      </c>
      <c r="Q129" s="68">
        <f t="shared" si="62"/>
        <v>0</v>
      </c>
      <c r="R129" s="68">
        <f t="shared" si="62"/>
        <v>0</v>
      </c>
    </row>
    <row r="130" spans="1:18" ht="25.5" hidden="1">
      <c r="A130" s="66" t="s">
        <v>276</v>
      </c>
      <c r="B130" s="41"/>
      <c r="C130" s="57" t="s">
        <v>278</v>
      </c>
      <c r="D130" s="68">
        <f>D131</f>
        <v>10124.6</v>
      </c>
      <c r="E130" s="68">
        <f t="shared" si="62"/>
        <v>10469.6</v>
      </c>
      <c r="F130" s="68">
        <f t="shared" si="62"/>
        <v>0</v>
      </c>
      <c r="G130" s="68">
        <f t="shared" si="62"/>
        <v>0</v>
      </c>
      <c r="H130" s="68">
        <f t="shared" si="62"/>
        <v>0</v>
      </c>
      <c r="I130" s="68">
        <f t="shared" si="62"/>
        <v>0</v>
      </c>
      <c r="J130" s="68">
        <f t="shared" si="62"/>
        <v>0</v>
      </c>
      <c r="K130" s="68">
        <f t="shared" si="62"/>
        <v>0</v>
      </c>
      <c r="L130" s="68">
        <f t="shared" si="62"/>
        <v>0</v>
      </c>
      <c r="M130" s="68">
        <f t="shared" si="62"/>
        <v>0</v>
      </c>
      <c r="N130" s="68">
        <f t="shared" si="62"/>
        <v>0</v>
      </c>
      <c r="O130" s="68">
        <f t="shared" si="62"/>
        <v>45</v>
      </c>
      <c r="P130" s="68">
        <f t="shared" si="62"/>
        <v>300</v>
      </c>
      <c r="Q130" s="68">
        <f t="shared" si="62"/>
        <v>0</v>
      </c>
      <c r="R130" s="68">
        <f t="shared" si="62"/>
        <v>0</v>
      </c>
    </row>
    <row r="131" spans="1:18" ht="25.5" hidden="1">
      <c r="A131" s="66"/>
      <c r="B131" s="41" t="s">
        <v>11</v>
      </c>
      <c r="C131" s="67" t="s">
        <v>12</v>
      </c>
      <c r="D131" s="68">
        <f>10124.6</f>
        <v>10124.6</v>
      </c>
      <c r="E131" s="64">
        <f>D131+SUM(F131:R131)</f>
        <v>10469.6</v>
      </c>
      <c r="F131" s="68"/>
      <c r="G131" s="68"/>
      <c r="H131" s="69"/>
      <c r="I131" s="69"/>
      <c r="J131" s="68"/>
      <c r="K131" s="70"/>
      <c r="L131" s="68">
        <f>-13.9876+13.9876</f>
        <v>0</v>
      </c>
      <c r="M131" s="68"/>
      <c r="N131" s="68"/>
      <c r="O131" s="68">
        <v>45</v>
      </c>
      <c r="P131" s="68">
        <v>300</v>
      </c>
      <c r="Q131" s="68"/>
      <c r="R131" s="68"/>
    </row>
    <row r="132" spans="1:18" ht="38.25" hidden="1">
      <c r="A132" s="66" t="s">
        <v>279</v>
      </c>
      <c r="B132" s="41"/>
      <c r="C132" s="67" t="s">
        <v>281</v>
      </c>
      <c r="D132" s="68">
        <f>D133</f>
        <v>6519.9</v>
      </c>
      <c r="E132" s="68">
        <f aca="true" t="shared" si="63" ref="E132:R133">E133</f>
        <v>6519.9</v>
      </c>
      <c r="F132" s="68">
        <f t="shared" si="63"/>
        <v>0</v>
      </c>
      <c r="G132" s="68">
        <f t="shared" si="63"/>
        <v>0</v>
      </c>
      <c r="H132" s="68">
        <f t="shared" si="63"/>
        <v>0</v>
      </c>
      <c r="I132" s="68">
        <f t="shared" si="63"/>
        <v>0</v>
      </c>
      <c r="J132" s="68">
        <f t="shared" si="63"/>
        <v>0</v>
      </c>
      <c r="K132" s="68">
        <f t="shared" si="63"/>
        <v>0</v>
      </c>
      <c r="L132" s="68">
        <f t="shared" si="63"/>
        <v>0</v>
      </c>
      <c r="M132" s="68">
        <f t="shared" si="63"/>
        <v>0</v>
      </c>
      <c r="N132" s="68">
        <f t="shared" si="63"/>
        <v>0</v>
      </c>
      <c r="O132" s="68">
        <f t="shared" si="63"/>
        <v>0</v>
      </c>
      <c r="P132" s="68">
        <f t="shared" si="63"/>
        <v>0</v>
      </c>
      <c r="Q132" s="68">
        <f t="shared" si="63"/>
        <v>0</v>
      </c>
      <c r="R132" s="68">
        <f t="shared" si="63"/>
        <v>0</v>
      </c>
    </row>
    <row r="133" spans="1:18" ht="25.5" hidden="1">
      <c r="A133" s="41" t="s">
        <v>280</v>
      </c>
      <c r="B133" s="41"/>
      <c r="C133" s="57" t="s">
        <v>278</v>
      </c>
      <c r="D133" s="68">
        <f>D134</f>
        <v>6519.9</v>
      </c>
      <c r="E133" s="68">
        <f t="shared" si="63"/>
        <v>6519.9</v>
      </c>
      <c r="F133" s="68">
        <f t="shared" si="63"/>
        <v>0</v>
      </c>
      <c r="G133" s="68">
        <f t="shared" si="63"/>
        <v>0</v>
      </c>
      <c r="H133" s="68">
        <f t="shared" si="63"/>
        <v>0</v>
      </c>
      <c r="I133" s="68">
        <f t="shared" si="63"/>
        <v>0</v>
      </c>
      <c r="J133" s="68">
        <f t="shared" si="63"/>
        <v>0</v>
      </c>
      <c r="K133" s="68">
        <f t="shared" si="63"/>
        <v>0</v>
      </c>
      <c r="L133" s="68">
        <f t="shared" si="63"/>
        <v>0</v>
      </c>
      <c r="M133" s="68">
        <f t="shared" si="63"/>
        <v>0</v>
      </c>
      <c r="N133" s="68">
        <f t="shared" si="63"/>
        <v>0</v>
      </c>
      <c r="O133" s="68">
        <f t="shared" si="63"/>
        <v>0</v>
      </c>
      <c r="P133" s="68">
        <f t="shared" si="63"/>
        <v>0</v>
      </c>
      <c r="Q133" s="68">
        <f t="shared" si="63"/>
        <v>0</v>
      </c>
      <c r="R133" s="68">
        <f t="shared" si="63"/>
        <v>0</v>
      </c>
    </row>
    <row r="134" spans="1:18" ht="25.5" hidden="1">
      <c r="A134" s="66"/>
      <c r="B134" s="41" t="s">
        <v>11</v>
      </c>
      <c r="C134" s="67" t="s">
        <v>12</v>
      </c>
      <c r="D134" s="68">
        <f>4697.2+3822.7-2000</f>
        <v>6519.9</v>
      </c>
      <c r="E134" s="64">
        <f>D134+SUM(F134:R134)</f>
        <v>6519.9</v>
      </c>
      <c r="F134" s="68"/>
      <c r="G134" s="68"/>
      <c r="H134" s="69"/>
      <c r="I134" s="69"/>
      <c r="J134" s="68"/>
      <c r="K134" s="68"/>
      <c r="L134" s="68"/>
      <c r="M134" s="68"/>
      <c r="N134" s="68"/>
      <c r="O134" s="68"/>
      <c r="P134" s="68"/>
      <c r="Q134" s="68"/>
      <c r="R134" s="68"/>
    </row>
    <row r="135" spans="1:18" ht="31.5" customHeight="1" hidden="1">
      <c r="A135" s="66" t="s">
        <v>282</v>
      </c>
      <c r="B135" s="41"/>
      <c r="C135" s="57" t="s">
        <v>284</v>
      </c>
      <c r="D135" s="68">
        <f>D136</f>
        <v>6074</v>
      </c>
      <c r="E135" s="68">
        <f aca="true" t="shared" si="64" ref="E135:R136">E136</f>
        <v>6074</v>
      </c>
      <c r="F135" s="68">
        <f t="shared" si="64"/>
        <v>0</v>
      </c>
      <c r="G135" s="68">
        <f t="shared" si="64"/>
        <v>0</v>
      </c>
      <c r="H135" s="68">
        <f t="shared" si="64"/>
        <v>0</v>
      </c>
      <c r="I135" s="68">
        <f t="shared" si="64"/>
        <v>0</v>
      </c>
      <c r="J135" s="68">
        <f t="shared" si="64"/>
        <v>0</v>
      </c>
      <c r="K135" s="68">
        <f t="shared" si="64"/>
        <v>0</v>
      </c>
      <c r="L135" s="68">
        <f t="shared" si="64"/>
        <v>0</v>
      </c>
      <c r="M135" s="68">
        <f t="shared" si="64"/>
        <v>0</v>
      </c>
      <c r="N135" s="68">
        <f t="shared" si="64"/>
        <v>0</v>
      </c>
      <c r="O135" s="68">
        <f t="shared" si="64"/>
        <v>0</v>
      </c>
      <c r="P135" s="68">
        <f t="shared" si="64"/>
        <v>0</v>
      </c>
      <c r="Q135" s="68">
        <f t="shared" si="64"/>
        <v>0</v>
      </c>
      <c r="R135" s="68">
        <f t="shared" si="64"/>
        <v>0</v>
      </c>
    </row>
    <row r="136" spans="1:18" ht="31.5" customHeight="1" hidden="1">
      <c r="A136" s="66" t="s">
        <v>283</v>
      </c>
      <c r="B136" s="41"/>
      <c r="C136" s="57" t="s">
        <v>278</v>
      </c>
      <c r="D136" s="68">
        <f>D137</f>
        <v>6074</v>
      </c>
      <c r="E136" s="68">
        <f t="shared" si="64"/>
        <v>6074</v>
      </c>
      <c r="F136" s="68">
        <f t="shared" si="64"/>
        <v>0</v>
      </c>
      <c r="G136" s="68">
        <f t="shared" si="64"/>
        <v>0</v>
      </c>
      <c r="H136" s="68">
        <f t="shared" si="64"/>
        <v>0</v>
      </c>
      <c r="I136" s="68">
        <f t="shared" si="64"/>
        <v>0</v>
      </c>
      <c r="J136" s="68">
        <f t="shared" si="64"/>
        <v>0</v>
      </c>
      <c r="K136" s="68">
        <f t="shared" si="64"/>
        <v>0</v>
      </c>
      <c r="L136" s="68">
        <f t="shared" si="64"/>
        <v>0</v>
      </c>
      <c r="M136" s="68">
        <f t="shared" si="64"/>
        <v>0</v>
      </c>
      <c r="N136" s="68">
        <f t="shared" si="64"/>
        <v>0</v>
      </c>
      <c r="O136" s="68">
        <f t="shared" si="64"/>
        <v>0</v>
      </c>
      <c r="P136" s="68">
        <f t="shared" si="64"/>
        <v>0</v>
      </c>
      <c r="Q136" s="68">
        <f t="shared" si="64"/>
        <v>0</v>
      </c>
      <c r="R136" s="68">
        <f t="shared" si="64"/>
        <v>0</v>
      </c>
    </row>
    <row r="137" spans="1:18" ht="25.5" hidden="1">
      <c r="A137" s="66"/>
      <c r="B137" s="41" t="s">
        <v>11</v>
      </c>
      <c r="C137" s="67" t="s">
        <v>12</v>
      </c>
      <c r="D137" s="68">
        <f>6074</f>
        <v>6074</v>
      </c>
      <c r="E137" s="64">
        <f>D137+SUM(F137:R137)</f>
        <v>6074</v>
      </c>
      <c r="F137" s="68"/>
      <c r="G137" s="68"/>
      <c r="H137" s="69"/>
      <c r="I137" s="69"/>
      <c r="J137" s="68"/>
      <c r="K137" s="68"/>
      <c r="L137" s="68"/>
      <c r="M137" s="68"/>
      <c r="N137" s="68"/>
      <c r="O137" s="68"/>
      <c r="P137" s="68"/>
      <c r="Q137" s="68"/>
      <c r="R137" s="68"/>
    </row>
    <row r="138" spans="1:18" ht="25.5">
      <c r="A138" s="66" t="s">
        <v>285</v>
      </c>
      <c r="B138" s="41"/>
      <c r="C138" s="75" t="s">
        <v>287</v>
      </c>
      <c r="D138" s="68">
        <f>D139</f>
        <v>539.6</v>
      </c>
      <c r="E138" s="68">
        <f aca="true" t="shared" si="65" ref="E138:R139">E139</f>
        <v>1668.6</v>
      </c>
      <c r="F138" s="68">
        <f t="shared" si="65"/>
        <v>0</v>
      </c>
      <c r="G138" s="68">
        <f t="shared" si="65"/>
        <v>395</v>
      </c>
      <c r="H138" s="68">
        <f t="shared" si="65"/>
        <v>0</v>
      </c>
      <c r="I138" s="68">
        <f t="shared" si="65"/>
        <v>0</v>
      </c>
      <c r="J138" s="68">
        <f t="shared" si="65"/>
        <v>0</v>
      </c>
      <c r="K138" s="68">
        <f t="shared" si="65"/>
        <v>34</v>
      </c>
      <c r="L138" s="68">
        <f t="shared" si="65"/>
        <v>300</v>
      </c>
      <c r="M138" s="68">
        <f t="shared" si="65"/>
        <v>0</v>
      </c>
      <c r="N138" s="68">
        <f t="shared" si="65"/>
        <v>0</v>
      </c>
      <c r="O138" s="68">
        <f t="shared" si="65"/>
        <v>0</v>
      </c>
      <c r="P138" s="68">
        <f t="shared" si="65"/>
        <v>0</v>
      </c>
      <c r="Q138" s="68">
        <f t="shared" si="65"/>
        <v>400</v>
      </c>
      <c r="R138" s="68">
        <f t="shared" si="65"/>
        <v>0</v>
      </c>
    </row>
    <row r="139" spans="1:18" ht="12.75">
      <c r="A139" s="66" t="s">
        <v>286</v>
      </c>
      <c r="B139" s="41"/>
      <c r="C139" s="75" t="s">
        <v>288</v>
      </c>
      <c r="D139" s="68">
        <f>D140</f>
        <v>539.6</v>
      </c>
      <c r="E139" s="68">
        <f t="shared" si="65"/>
        <v>1668.6</v>
      </c>
      <c r="F139" s="68">
        <f t="shared" si="65"/>
        <v>0</v>
      </c>
      <c r="G139" s="68">
        <f t="shared" si="65"/>
        <v>395</v>
      </c>
      <c r="H139" s="68">
        <f t="shared" si="65"/>
        <v>0</v>
      </c>
      <c r="I139" s="68">
        <f t="shared" si="65"/>
        <v>0</v>
      </c>
      <c r="J139" s="68">
        <f t="shared" si="65"/>
        <v>0</v>
      </c>
      <c r="K139" s="68">
        <f t="shared" si="65"/>
        <v>34</v>
      </c>
      <c r="L139" s="68">
        <f t="shared" si="65"/>
        <v>300</v>
      </c>
      <c r="M139" s="68">
        <f t="shared" si="65"/>
        <v>0</v>
      </c>
      <c r="N139" s="68">
        <f t="shared" si="65"/>
        <v>0</v>
      </c>
      <c r="O139" s="68">
        <f t="shared" si="65"/>
        <v>0</v>
      </c>
      <c r="P139" s="68">
        <f t="shared" si="65"/>
        <v>0</v>
      </c>
      <c r="Q139" s="68">
        <f t="shared" si="65"/>
        <v>400</v>
      </c>
      <c r="R139" s="68">
        <f t="shared" si="65"/>
        <v>0</v>
      </c>
    </row>
    <row r="140" spans="1:18" ht="25.5">
      <c r="A140" s="66"/>
      <c r="B140" s="41" t="s">
        <v>3</v>
      </c>
      <c r="C140" s="67" t="s">
        <v>95</v>
      </c>
      <c r="D140" s="68">
        <f>539.6</f>
        <v>539.6</v>
      </c>
      <c r="E140" s="64">
        <f>D140+SUM(F140:R140)</f>
        <v>1668.6</v>
      </c>
      <c r="F140" s="68"/>
      <c r="G140" s="68">
        <v>395</v>
      </c>
      <c r="H140" s="69"/>
      <c r="I140" s="69"/>
      <c r="J140" s="68"/>
      <c r="K140" s="68">
        <f>34</f>
        <v>34</v>
      </c>
      <c r="L140" s="68">
        <v>300</v>
      </c>
      <c r="M140" s="68"/>
      <c r="N140" s="68"/>
      <c r="O140" s="68"/>
      <c r="P140" s="68"/>
      <c r="Q140" s="68">
        <v>400</v>
      </c>
      <c r="R140" s="68"/>
    </row>
    <row r="141" spans="1:18" ht="38.25" hidden="1">
      <c r="A141" s="66" t="s">
        <v>289</v>
      </c>
      <c r="B141" s="41"/>
      <c r="C141" s="57" t="s">
        <v>291</v>
      </c>
      <c r="D141" s="68">
        <f>D142</f>
        <v>54.2</v>
      </c>
      <c r="E141" s="68">
        <f aca="true" t="shared" si="66" ref="E141:R141">E142</f>
        <v>54.2</v>
      </c>
      <c r="F141" s="68">
        <f t="shared" si="66"/>
        <v>0</v>
      </c>
      <c r="G141" s="68">
        <f t="shared" si="66"/>
        <v>0</v>
      </c>
      <c r="H141" s="68">
        <f t="shared" si="66"/>
        <v>0</v>
      </c>
      <c r="I141" s="68">
        <f t="shared" si="66"/>
        <v>0</v>
      </c>
      <c r="J141" s="68">
        <f t="shared" si="66"/>
        <v>0</v>
      </c>
      <c r="K141" s="68">
        <f t="shared" si="66"/>
        <v>0</v>
      </c>
      <c r="L141" s="68">
        <f t="shared" si="66"/>
        <v>0</v>
      </c>
      <c r="M141" s="68">
        <f t="shared" si="66"/>
        <v>0</v>
      </c>
      <c r="N141" s="68">
        <f t="shared" si="66"/>
        <v>0</v>
      </c>
      <c r="O141" s="68">
        <f t="shared" si="66"/>
        <v>0</v>
      </c>
      <c r="P141" s="68">
        <f t="shared" si="66"/>
        <v>0</v>
      </c>
      <c r="Q141" s="68">
        <f t="shared" si="66"/>
        <v>0</v>
      </c>
      <c r="R141" s="68">
        <f t="shared" si="66"/>
        <v>0</v>
      </c>
    </row>
    <row r="142" spans="1:18" ht="38.25" hidden="1">
      <c r="A142" s="66" t="s">
        <v>290</v>
      </c>
      <c r="B142" s="41"/>
      <c r="C142" s="57" t="s">
        <v>292</v>
      </c>
      <c r="D142" s="68">
        <f>D143</f>
        <v>54.2</v>
      </c>
      <c r="E142" s="68">
        <f aca="true" t="shared" si="67" ref="E142:R142">E143</f>
        <v>54.2</v>
      </c>
      <c r="F142" s="68">
        <f t="shared" si="67"/>
        <v>0</v>
      </c>
      <c r="G142" s="68">
        <f t="shared" si="67"/>
        <v>0</v>
      </c>
      <c r="H142" s="68">
        <f t="shared" si="67"/>
        <v>0</v>
      </c>
      <c r="I142" s="68">
        <f t="shared" si="67"/>
        <v>0</v>
      </c>
      <c r="J142" s="68">
        <f t="shared" si="67"/>
        <v>0</v>
      </c>
      <c r="K142" s="68">
        <f t="shared" si="67"/>
        <v>0</v>
      </c>
      <c r="L142" s="68">
        <f t="shared" si="67"/>
        <v>0</v>
      </c>
      <c r="M142" s="68">
        <f t="shared" si="67"/>
        <v>0</v>
      </c>
      <c r="N142" s="68">
        <f t="shared" si="67"/>
        <v>0</v>
      </c>
      <c r="O142" s="68">
        <f t="shared" si="67"/>
        <v>0</v>
      </c>
      <c r="P142" s="68">
        <f t="shared" si="67"/>
        <v>0</v>
      </c>
      <c r="Q142" s="68">
        <f t="shared" si="67"/>
        <v>0</v>
      </c>
      <c r="R142" s="68">
        <f t="shared" si="67"/>
        <v>0</v>
      </c>
    </row>
    <row r="143" spans="1:18" ht="25.5" hidden="1">
      <c r="A143" s="66"/>
      <c r="B143" s="41" t="s">
        <v>3</v>
      </c>
      <c r="C143" s="67" t="s">
        <v>95</v>
      </c>
      <c r="D143" s="68">
        <v>54.2</v>
      </c>
      <c r="E143" s="64">
        <f>D143+SUM(F143:R143)</f>
        <v>54.2</v>
      </c>
      <c r="F143" s="68"/>
      <c r="G143" s="68"/>
      <c r="H143" s="69"/>
      <c r="I143" s="69"/>
      <c r="J143" s="68"/>
      <c r="K143" s="68"/>
      <c r="L143" s="68"/>
      <c r="M143" s="68"/>
      <c r="N143" s="68"/>
      <c r="O143" s="68"/>
      <c r="P143" s="68"/>
      <c r="Q143" s="68"/>
      <c r="R143" s="68"/>
    </row>
    <row r="144" spans="1:18" ht="25.5" hidden="1">
      <c r="A144" s="82" t="s">
        <v>293</v>
      </c>
      <c r="B144" s="99"/>
      <c r="C144" s="61" t="s">
        <v>125</v>
      </c>
      <c r="D144" s="68">
        <f>D145+D148</f>
        <v>16961.1</v>
      </c>
      <c r="E144" s="68">
        <f aca="true" t="shared" si="68" ref="E144:R144">E145+E148</f>
        <v>18077.199999999997</v>
      </c>
      <c r="F144" s="68">
        <f t="shared" si="68"/>
        <v>0</v>
      </c>
      <c r="G144" s="68">
        <f t="shared" si="68"/>
        <v>0</v>
      </c>
      <c r="H144" s="68">
        <f t="shared" si="68"/>
        <v>1116.1</v>
      </c>
      <c r="I144" s="68">
        <f t="shared" si="68"/>
        <v>0</v>
      </c>
      <c r="J144" s="68">
        <f t="shared" si="68"/>
        <v>0</v>
      </c>
      <c r="K144" s="68">
        <f t="shared" si="68"/>
        <v>0</v>
      </c>
      <c r="L144" s="68">
        <f t="shared" si="68"/>
        <v>0</v>
      </c>
      <c r="M144" s="68">
        <f t="shared" si="68"/>
        <v>0</v>
      </c>
      <c r="N144" s="68">
        <f t="shared" si="68"/>
        <v>0</v>
      </c>
      <c r="O144" s="68">
        <f t="shared" si="68"/>
        <v>0</v>
      </c>
      <c r="P144" s="68">
        <f>P145+P148</f>
        <v>0</v>
      </c>
      <c r="Q144" s="68">
        <f>Q145+Q148</f>
        <v>0</v>
      </c>
      <c r="R144" s="68">
        <f t="shared" si="68"/>
        <v>0</v>
      </c>
    </row>
    <row r="145" spans="1:18" ht="38.25" hidden="1">
      <c r="A145" s="66" t="s">
        <v>294</v>
      </c>
      <c r="B145" s="41"/>
      <c r="C145" s="57" t="s">
        <v>296</v>
      </c>
      <c r="D145" s="68">
        <f>D146</f>
        <v>16151.599999999999</v>
      </c>
      <c r="E145" s="68">
        <f aca="true" t="shared" si="69" ref="E145:R146">E146</f>
        <v>17267.699999999997</v>
      </c>
      <c r="F145" s="68">
        <f t="shared" si="69"/>
        <v>0</v>
      </c>
      <c r="G145" s="68">
        <f t="shared" si="69"/>
        <v>0</v>
      </c>
      <c r="H145" s="68">
        <f t="shared" si="69"/>
        <v>1116.1</v>
      </c>
      <c r="I145" s="68">
        <f t="shared" si="69"/>
        <v>0</v>
      </c>
      <c r="J145" s="68">
        <f t="shared" si="69"/>
        <v>0</v>
      </c>
      <c r="K145" s="68">
        <f t="shared" si="69"/>
        <v>0</v>
      </c>
      <c r="L145" s="68">
        <f t="shared" si="69"/>
        <v>0</v>
      </c>
      <c r="M145" s="68">
        <f t="shared" si="69"/>
        <v>0</v>
      </c>
      <c r="N145" s="68">
        <f t="shared" si="69"/>
        <v>0</v>
      </c>
      <c r="O145" s="68">
        <f t="shared" si="69"/>
        <v>0</v>
      </c>
      <c r="P145" s="68">
        <f t="shared" si="69"/>
        <v>0</v>
      </c>
      <c r="Q145" s="68">
        <f t="shared" si="69"/>
        <v>0</v>
      </c>
      <c r="R145" s="68">
        <f t="shared" si="69"/>
        <v>0</v>
      </c>
    </row>
    <row r="146" spans="1:18" ht="25.5" hidden="1">
      <c r="A146" s="66" t="s">
        <v>295</v>
      </c>
      <c r="B146" s="41"/>
      <c r="C146" s="57" t="s">
        <v>278</v>
      </c>
      <c r="D146" s="68">
        <f>D147</f>
        <v>16151.599999999999</v>
      </c>
      <c r="E146" s="68">
        <f t="shared" si="69"/>
        <v>17267.699999999997</v>
      </c>
      <c r="F146" s="68">
        <f t="shared" si="69"/>
        <v>0</v>
      </c>
      <c r="G146" s="68">
        <f t="shared" si="69"/>
        <v>0</v>
      </c>
      <c r="H146" s="68">
        <f t="shared" si="69"/>
        <v>1116.1</v>
      </c>
      <c r="I146" s="68">
        <f t="shared" si="69"/>
        <v>0</v>
      </c>
      <c r="J146" s="68">
        <f t="shared" si="69"/>
        <v>0</v>
      </c>
      <c r="K146" s="68">
        <f t="shared" si="69"/>
        <v>0</v>
      </c>
      <c r="L146" s="68">
        <f t="shared" si="69"/>
        <v>0</v>
      </c>
      <c r="M146" s="68">
        <f t="shared" si="69"/>
        <v>0</v>
      </c>
      <c r="N146" s="68">
        <f t="shared" si="69"/>
        <v>0</v>
      </c>
      <c r="O146" s="68">
        <f t="shared" si="69"/>
        <v>0</v>
      </c>
      <c r="P146" s="68">
        <f t="shared" si="69"/>
        <v>0</v>
      </c>
      <c r="Q146" s="68">
        <f t="shared" si="69"/>
        <v>0</v>
      </c>
      <c r="R146" s="68">
        <f t="shared" si="69"/>
        <v>0</v>
      </c>
    </row>
    <row r="147" spans="1:18" ht="29.25" customHeight="1" hidden="1">
      <c r="A147" s="66"/>
      <c r="B147" s="41" t="s">
        <v>11</v>
      </c>
      <c r="C147" s="67" t="s">
        <v>12</v>
      </c>
      <c r="D147" s="68">
        <f>4001.8+10044.8+2105</f>
        <v>16151.599999999999</v>
      </c>
      <c r="E147" s="64">
        <f>D147+SUM(F147:R147)</f>
        <v>17267.699999999997</v>
      </c>
      <c r="F147" s="68"/>
      <c r="G147" s="68"/>
      <c r="H147" s="69">
        <f>1116.1</f>
        <v>1116.1</v>
      </c>
      <c r="I147" s="69"/>
      <c r="J147" s="68"/>
      <c r="K147" s="70"/>
      <c r="L147" s="68"/>
      <c r="M147" s="68"/>
      <c r="N147" s="68"/>
      <c r="O147" s="68"/>
      <c r="P147" s="68"/>
      <c r="Q147" s="68"/>
      <c r="R147" s="68"/>
    </row>
    <row r="148" spans="1:18" ht="63.75" hidden="1">
      <c r="A148" s="66" t="s">
        <v>297</v>
      </c>
      <c r="B148" s="41"/>
      <c r="C148" s="57" t="s">
        <v>302</v>
      </c>
      <c r="D148" s="68">
        <f>D149</f>
        <v>809.5</v>
      </c>
      <c r="E148" s="68">
        <f aca="true" t="shared" si="70" ref="E148:R149">E149</f>
        <v>809.5</v>
      </c>
      <c r="F148" s="68">
        <f t="shared" si="70"/>
        <v>0</v>
      </c>
      <c r="G148" s="68">
        <f t="shared" si="70"/>
        <v>0</v>
      </c>
      <c r="H148" s="68">
        <f t="shared" si="70"/>
        <v>0</v>
      </c>
      <c r="I148" s="68">
        <f t="shared" si="70"/>
        <v>0</v>
      </c>
      <c r="J148" s="68">
        <f t="shared" si="70"/>
        <v>0</v>
      </c>
      <c r="K148" s="68">
        <f t="shared" si="70"/>
        <v>0</v>
      </c>
      <c r="L148" s="68">
        <f t="shared" si="70"/>
        <v>0</v>
      </c>
      <c r="M148" s="68">
        <f t="shared" si="70"/>
        <v>0</v>
      </c>
      <c r="N148" s="68">
        <f t="shared" si="70"/>
        <v>0</v>
      </c>
      <c r="O148" s="68">
        <f t="shared" si="70"/>
        <v>0</v>
      </c>
      <c r="P148" s="68">
        <f t="shared" si="70"/>
        <v>0</v>
      </c>
      <c r="Q148" s="68">
        <f t="shared" si="70"/>
        <v>0</v>
      </c>
      <c r="R148" s="68">
        <f t="shared" si="70"/>
        <v>0</v>
      </c>
    </row>
    <row r="149" spans="1:18" ht="12.75" hidden="1">
      <c r="A149" s="66" t="s">
        <v>298</v>
      </c>
      <c r="B149" s="41"/>
      <c r="C149" s="57" t="s">
        <v>288</v>
      </c>
      <c r="D149" s="68">
        <f>D150</f>
        <v>809.5</v>
      </c>
      <c r="E149" s="68">
        <f t="shared" si="70"/>
        <v>809.5</v>
      </c>
      <c r="F149" s="68">
        <f t="shared" si="70"/>
        <v>0</v>
      </c>
      <c r="G149" s="68">
        <f t="shared" si="70"/>
        <v>0</v>
      </c>
      <c r="H149" s="68">
        <f t="shared" si="70"/>
        <v>0</v>
      </c>
      <c r="I149" s="68">
        <f t="shared" si="70"/>
        <v>0</v>
      </c>
      <c r="J149" s="68">
        <f t="shared" si="70"/>
        <v>0</v>
      </c>
      <c r="K149" s="68">
        <f t="shared" si="70"/>
        <v>0</v>
      </c>
      <c r="L149" s="68">
        <f t="shared" si="70"/>
        <v>0</v>
      </c>
      <c r="M149" s="68">
        <f t="shared" si="70"/>
        <v>0</v>
      </c>
      <c r="N149" s="68">
        <f t="shared" si="70"/>
        <v>0</v>
      </c>
      <c r="O149" s="68">
        <f t="shared" si="70"/>
        <v>0</v>
      </c>
      <c r="P149" s="68">
        <f t="shared" si="70"/>
        <v>0</v>
      </c>
      <c r="Q149" s="68">
        <f t="shared" si="70"/>
        <v>0</v>
      </c>
      <c r="R149" s="68">
        <f t="shared" si="70"/>
        <v>0</v>
      </c>
    </row>
    <row r="150" spans="1:18" ht="25.5" hidden="1">
      <c r="A150" s="66"/>
      <c r="B150" s="41" t="s">
        <v>3</v>
      </c>
      <c r="C150" s="67" t="s">
        <v>95</v>
      </c>
      <c r="D150" s="68">
        <f>809.5</f>
        <v>809.5</v>
      </c>
      <c r="E150" s="64">
        <f>D150+SUM(F150:R150)</f>
        <v>809.5</v>
      </c>
      <c r="F150" s="68"/>
      <c r="G150" s="68"/>
      <c r="H150" s="69"/>
      <c r="I150" s="69"/>
      <c r="J150" s="68"/>
      <c r="K150" s="70"/>
      <c r="L150" s="68"/>
      <c r="M150" s="68"/>
      <c r="N150" s="68"/>
      <c r="O150" s="68"/>
      <c r="P150" s="68"/>
      <c r="Q150" s="68"/>
      <c r="R150" s="68"/>
    </row>
    <row r="151" spans="1:18" ht="25.5" hidden="1">
      <c r="A151" s="82" t="s">
        <v>299</v>
      </c>
      <c r="B151" s="41"/>
      <c r="C151" s="61" t="s">
        <v>126</v>
      </c>
      <c r="D151" s="68">
        <f>D152+D155+D158</f>
        <v>1076</v>
      </c>
      <c r="E151" s="68">
        <f aca="true" t="shared" si="71" ref="E151:R151">E152+E155+E158</f>
        <v>1106</v>
      </c>
      <c r="F151" s="68">
        <f t="shared" si="71"/>
        <v>0</v>
      </c>
      <c r="G151" s="68">
        <f t="shared" si="71"/>
        <v>0</v>
      </c>
      <c r="H151" s="68">
        <f t="shared" si="71"/>
        <v>0</v>
      </c>
      <c r="I151" s="68">
        <f t="shared" si="71"/>
        <v>0</v>
      </c>
      <c r="J151" s="68">
        <f t="shared" si="71"/>
        <v>0</v>
      </c>
      <c r="K151" s="68">
        <f t="shared" si="71"/>
        <v>30</v>
      </c>
      <c r="L151" s="68">
        <f t="shared" si="71"/>
        <v>0</v>
      </c>
      <c r="M151" s="68">
        <f t="shared" si="71"/>
        <v>0</v>
      </c>
      <c r="N151" s="68">
        <f t="shared" si="71"/>
        <v>0</v>
      </c>
      <c r="O151" s="68">
        <f t="shared" si="71"/>
        <v>0</v>
      </c>
      <c r="P151" s="68">
        <f>P152+P155+P158</f>
        <v>0</v>
      </c>
      <c r="Q151" s="68">
        <f>Q152+Q155+Q158</f>
        <v>0</v>
      </c>
      <c r="R151" s="68">
        <f t="shared" si="71"/>
        <v>0</v>
      </c>
    </row>
    <row r="152" spans="1:18" ht="38.25" hidden="1">
      <c r="A152" s="66" t="s">
        <v>300</v>
      </c>
      <c r="B152" s="41"/>
      <c r="C152" s="57" t="s">
        <v>303</v>
      </c>
      <c r="D152" s="68">
        <f>D153</f>
        <v>807.7</v>
      </c>
      <c r="E152" s="68">
        <f aca="true" t="shared" si="72" ref="E152:R153">E153</f>
        <v>837.7</v>
      </c>
      <c r="F152" s="68">
        <f t="shared" si="72"/>
        <v>0</v>
      </c>
      <c r="G152" s="68">
        <f t="shared" si="72"/>
        <v>0</v>
      </c>
      <c r="H152" s="68">
        <f t="shared" si="72"/>
        <v>0</v>
      </c>
      <c r="I152" s="68">
        <f t="shared" si="72"/>
        <v>0</v>
      </c>
      <c r="J152" s="68">
        <f t="shared" si="72"/>
        <v>0</v>
      </c>
      <c r="K152" s="68">
        <f t="shared" si="72"/>
        <v>30</v>
      </c>
      <c r="L152" s="68">
        <f t="shared" si="72"/>
        <v>0</v>
      </c>
      <c r="M152" s="68">
        <f t="shared" si="72"/>
        <v>0</v>
      </c>
      <c r="N152" s="68">
        <f t="shared" si="72"/>
        <v>0</v>
      </c>
      <c r="O152" s="68">
        <f t="shared" si="72"/>
        <v>0</v>
      </c>
      <c r="P152" s="68">
        <f t="shared" si="72"/>
        <v>0</v>
      </c>
      <c r="Q152" s="68">
        <f t="shared" si="72"/>
        <v>0</v>
      </c>
      <c r="R152" s="68">
        <f t="shared" si="72"/>
        <v>0</v>
      </c>
    </row>
    <row r="153" spans="1:18" ht="25.5" hidden="1">
      <c r="A153" s="66" t="s">
        <v>301</v>
      </c>
      <c r="B153" s="41"/>
      <c r="C153" s="57" t="s">
        <v>278</v>
      </c>
      <c r="D153" s="68">
        <f>D154</f>
        <v>807.7</v>
      </c>
      <c r="E153" s="68">
        <f t="shared" si="72"/>
        <v>837.7</v>
      </c>
      <c r="F153" s="68">
        <f t="shared" si="72"/>
        <v>0</v>
      </c>
      <c r="G153" s="68">
        <f t="shared" si="72"/>
        <v>0</v>
      </c>
      <c r="H153" s="68">
        <f t="shared" si="72"/>
        <v>0</v>
      </c>
      <c r="I153" s="68">
        <f t="shared" si="72"/>
        <v>0</v>
      </c>
      <c r="J153" s="68">
        <f t="shared" si="72"/>
        <v>0</v>
      </c>
      <c r="K153" s="68">
        <f t="shared" si="72"/>
        <v>30</v>
      </c>
      <c r="L153" s="68">
        <f t="shared" si="72"/>
        <v>0</v>
      </c>
      <c r="M153" s="68">
        <f t="shared" si="72"/>
        <v>0</v>
      </c>
      <c r="N153" s="68">
        <f t="shared" si="72"/>
        <v>0</v>
      </c>
      <c r="O153" s="68">
        <f t="shared" si="72"/>
        <v>0</v>
      </c>
      <c r="P153" s="68">
        <f t="shared" si="72"/>
        <v>0</v>
      </c>
      <c r="Q153" s="68">
        <f t="shared" si="72"/>
        <v>0</v>
      </c>
      <c r="R153" s="68">
        <f t="shared" si="72"/>
        <v>0</v>
      </c>
    </row>
    <row r="154" spans="1:18" ht="25.5" hidden="1">
      <c r="A154" s="66"/>
      <c r="B154" s="41" t="s">
        <v>11</v>
      </c>
      <c r="C154" s="67" t="s">
        <v>12</v>
      </c>
      <c r="D154" s="68">
        <f>807.7</f>
        <v>807.7</v>
      </c>
      <c r="E154" s="64">
        <f>D154+SUM(F154:R154)</f>
        <v>837.7</v>
      </c>
      <c r="F154" s="68"/>
      <c r="G154" s="68"/>
      <c r="H154" s="69"/>
      <c r="I154" s="69"/>
      <c r="J154" s="68"/>
      <c r="K154" s="68">
        <v>30</v>
      </c>
      <c r="L154" s="68"/>
      <c r="M154" s="68"/>
      <c r="N154" s="68"/>
      <c r="O154" s="68"/>
      <c r="P154" s="68"/>
      <c r="Q154" s="68"/>
      <c r="R154" s="68"/>
    </row>
    <row r="155" spans="1:18" ht="25.5" hidden="1">
      <c r="A155" s="66" t="s">
        <v>304</v>
      </c>
      <c r="B155" s="41"/>
      <c r="C155" s="57" t="s">
        <v>306</v>
      </c>
      <c r="D155" s="68">
        <f>D156</f>
        <v>100</v>
      </c>
      <c r="E155" s="68">
        <f aca="true" t="shared" si="73" ref="E155:R156">E156</f>
        <v>100</v>
      </c>
      <c r="F155" s="68">
        <f t="shared" si="73"/>
        <v>0</v>
      </c>
      <c r="G155" s="68">
        <f t="shared" si="73"/>
        <v>0</v>
      </c>
      <c r="H155" s="68">
        <f t="shared" si="73"/>
        <v>0</v>
      </c>
      <c r="I155" s="68">
        <f t="shared" si="73"/>
        <v>0</v>
      </c>
      <c r="J155" s="68">
        <f t="shared" si="73"/>
        <v>0</v>
      </c>
      <c r="K155" s="68">
        <f t="shared" si="73"/>
        <v>0</v>
      </c>
      <c r="L155" s="68">
        <f t="shared" si="73"/>
        <v>0</v>
      </c>
      <c r="M155" s="68">
        <f t="shared" si="73"/>
        <v>0</v>
      </c>
      <c r="N155" s="68">
        <f t="shared" si="73"/>
        <v>0</v>
      </c>
      <c r="O155" s="68">
        <f t="shared" si="73"/>
        <v>0</v>
      </c>
      <c r="P155" s="68">
        <f t="shared" si="73"/>
        <v>0</v>
      </c>
      <c r="Q155" s="68">
        <f t="shared" si="73"/>
        <v>0</v>
      </c>
      <c r="R155" s="68">
        <f t="shared" si="73"/>
        <v>0</v>
      </c>
    </row>
    <row r="156" spans="1:18" ht="25.5" hidden="1">
      <c r="A156" s="66" t="s">
        <v>305</v>
      </c>
      <c r="B156" s="41"/>
      <c r="C156" s="57" t="s">
        <v>307</v>
      </c>
      <c r="D156" s="68">
        <f>D157</f>
        <v>100</v>
      </c>
      <c r="E156" s="68">
        <f t="shared" si="73"/>
        <v>100</v>
      </c>
      <c r="F156" s="68">
        <f t="shared" si="73"/>
        <v>0</v>
      </c>
      <c r="G156" s="68">
        <f t="shared" si="73"/>
        <v>0</v>
      </c>
      <c r="H156" s="68">
        <f t="shared" si="73"/>
        <v>0</v>
      </c>
      <c r="I156" s="68">
        <f t="shared" si="73"/>
        <v>0</v>
      </c>
      <c r="J156" s="68">
        <f t="shared" si="73"/>
        <v>0</v>
      </c>
      <c r="K156" s="68">
        <f t="shared" si="73"/>
        <v>0</v>
      </c>
      <c r="L156" s="68">
        <f t="shared" si="73"/>
        <v>0</v>
      </c>
      <c r="M156" s="68">
        <f t="shared" si="73"/>
        <v>0</v>
      </c>
      <c r="N156" s="68">
        <f t="shared" si="73"/>
        <v>0</v>
      </c>
      <c r="O156" s="68">
        <f t="shared" si="73"/>
        <v>0</v>
      </c>
      <c r="P156" s="68">
        <f t="shared" si="73"/>
        <v>0</v>
      </c>
      <c r="Q156" s="68">
        <f t="shared" si="73"/>
        <v>0</v>
      </c>
      <c r="R156" s="68">
        <f t="shared" si="73"/>
        <v>0</v>
      </c>
    </row>
    <row r="157" spans="1:18" ht="25.5" hidden="1">
      <c r="A157" s="66"/>
      <c r="B157" s="41" t="s">
        <v>11</v>
      </c>
      <c r="C157" s="67" t="s">
        <v>12</v>
      </c>
      <c r="D157" s="68">
        <f>100</f>
        <v>100</v>
      </c>
      <c r="E157" s="64">
        <f>D157+SUM(F157:R157)</f>
        <v>100</v>
      </c>
      <c r="F157" s="68"/>
      <c r="G157" s="68"/>
      <c r="H157" s="69"/>
      <c r="I157" s="69"/>
      <c r="J157" s="68"/>
      <c r="K157" s="68"/>
      <c r="L157" s="68"/>
      <c r="M157" s="68"/>
      <c r="N157" s="68"/>
      <c r="O157" s="68"/>
      <c r="P157" s="68"/>
      <c r="Q157" s="68"/>
      <c r="R157" s="68"/>
    </row>
    <row r="158" spans="1:18" ht="25.5" hidden="1">
      <c r="A158" s="66" t="s">
        <v>308</v>
      </c>
      <c r="B158" s="41"/>
      <c r="C158" s="57" t="s">
        <v>310</v>
      </c>
      <c r="D158" s="68">
        <f>D159</f>
        <v>168.3</v>
      </c>
      <c r="E158" s="68">
        <f aca="true" t="shared" si="74" ref="E158:R159">E159</f>
        <v>168.3</v>
      </c>
      <c r="F158" s="68">
        <f t="shared" si="74"/>
        <v>0</v>
      </c>
      <c r="G158" s="68">
        <f t="shared" si="74"/>
        <v>0</v>
      </c>
      <c r="H158" s="68">
        <f t="shared" si="74"/>
        <v>0</v>
      </c>
      <c r="I158" s="68">
        <f t="shared" si="74"/>
        <v>0</v>
      </c>
      <c r="J158" s="68">
        <f t="shared" si="74"/>
        <v>0</v>
      </c>
      <c r="K158" s="68">
        <f t="shared" si="74"/>
        <v>0</v>
      </c>
      <c r="L158" s="68">
        <f t="shared" si="74"/>
        <v>0</v>
      </c>
      <c r="M158" s="68">
        <f t="shared" si="74"/>
        <v>0</v>
      </c>
      <c r="N158" s="68">
        <f t="shared" si="74"/>
        <v>0</v>
      </c>
      <c r="O158" s="68">
        <f t="shared" si="74"/>
        <v>0</v>
      </c>
      <c r="P158" s="68">
        <f t="shared" si="74"/>
        <v>0</v>
      </c>
      <c r="Q158" s="68">
        <f t="shared" si="74"/>
        <v>0</v>
      </c>
      <c r="R158" s="68">
        <f t="shared" si="74"/>
        <v>0</v>
      </c>
    </row>
    <row r="159" spans="1:18" ht="12.75" hidden="1">
      <c r="A159" s="66" t="s">
        <v>309</v>
      </c>
      <c r="B159" s="41"/>
      <c r="C159" s="57" t="s">
        <v>288</v>
      </c>
      <c r="D159" s="68">
        <f>D160</f>
        <v>168.3</v>
      </c>
      <c r="E159" s="68">
        <f t="shared" si="74"/>
        <v>168.3</v>
      </c>
      <c r="F159" s="68">
        <f t="shared" si="74"/>
        <v>0</v>
      </c>
      <c r="G159" s="68">
        <f t="shared" si="74"/>
        <v>0</v>
      </c>
      <c r="H159" s="68">
        <f t="shared" si="74"/>
        <v>0</v>
      </c>
      <c r="I159" s="68">
        <f t="shared" si="74"/>
        <v>0</v>
      </c>
      <c r="J159" s="68">
        <f t="shared" si="74"/>
        <v>0</v>
      </c>
      <c r="K159" s="68">
        <f t="shared" si="74"/>
        <v>0</v>
      </c>
      <c r="L159" s="68">
        <f t="shared" si="74"/>
        <v>0</v>
      </c>
      <c r="M159" s="68">
        <f t="shared" si="74"/>
        <v>0</v>
      </c>
      <c r="N159" s="68">
        <f t="shared" si="74"/>
        <v>0</v>
      </c>
      <c r="O159" s="68">
        <f t="shared" si="74"/>
        <v>0</v>
      </c>
      <c r="P159" s="68">
        <f t="shared" si="74"/>
        <v>0</v>
      </c>
      <c r="Q159" s="68">
        <f t="shared" si="74"/>
        <v>0</v>
      </c>
      <c r="R159" s="68">
        <f t="shared" si="74"/>
        <v>0</v>
      </c>
    </row>
    <row r="160" spans="1:18" ht="25.5" hidden="1">
      <c r="A160" s="66"/>
      <c r="B160" s="41" t="s">
        <v>3</v>
      </c>
      <c r="C160" s="67" t="s">
        <v>95</v>
      </c>
      <c r="D160" s="68">
        <f>168.3</f>
        <v>168.3</v>
      </c>
      <c r="E160" s="64">
        <f>D160+SUM(F160:R160)</f>
        <v>168.3</v>
      </c>
      <c r="F160" s="68"/>
      <c r="G160" s="68"/>
      <c r="H160" s="69"/>
      <c r="I160" s="69"/>
      <c r="J160" s="68"/>
      <c r="K160" s="68"/>
      <c r="L160" s="68"/>
      <c r="M160" s="68"/>
      <c r="N160" s="68"/>
      <c r="O160" s="68"/>
      <c r="P160" s="68"/>
      <c r="Q160" s="68"/>
      <c r="R160" s="68"/>
    </row>
    <row r="161" spans="1:18" ht="25.5">
      <c r="A161" s="82" t="s">
        <v>311</v>
      </c>
      <c r="B161" s="41"/>
      <c r="C161" s="61" t="s">
        <v>127</v>
      </c>
      <c r="D161" s="68">
        <f>D162+D165</f>
        <v>507.8</v>
      </c>
      <c r="E161" s="68">
        <f aca="true" t="shared" si="75" ref="E161:R161">E162+E165</f>
        <v>891.5849999999999</v>
      </c>
      <c r="F161" s="68">
        <f t="shared" si="75"/>
        <v>0</v>
      </c>
      <c r="G161" s="68">
        <f t="shared" si="75"/>
        <v>0</v>
      </c>
      <c r="H161" s="68">
        <f t="shared" si="75"/>
        <v>0</v>
      </c>
      <c r="I161" s="68">
        <f t="shared" si="75"/>
        <v>0</v>
      </c>
      <c r="J161" s="68">
        <f t="shared" si="75"/>
        <v>0</v>
      </c>
      <c r="K161" s="68">
        <f t="shared" si="75"/>
        <v>0</v>
      </c>
      <c r="L161" s="68">
        <f t="shared" si="75"/>
        <v>0</v>
      </c>
      <c r="M161" s="68">
        <f t="shared" si="75"/>
        <v>0</v>
      </c>
      <c r="N161" s="68">
        <f t="shared" si="75"/>
        <v>63.785</v>
      </c>
      <c r="O161" s="68">
        <f t="shared" si="75"/>
        <v>160</v>
      </c>
      <c r="P161" s="68">
        <f>P162+P165</f>
        <v>0</v>
      </c>
      <c r="Q161" s="68">
        <f>Q162+Q165</f>
        <v>160</v>
      </c>
      <c r="R161" s="68">
        <f t="shared" si="75"/>
        <v>0</v>
      </c>
    </row>
    <row r="162" spans="1:18" ht="25.5">
      <c r="A162" s="66" t="s">
        <v>312</v>
      </c>
      <c r="B162" s="41"/>
      <c r="C162" s="57" t="s">
        <v>314</v>
      </c>
      <c r="D162" s="68">
        <f>D163</f>
        <v>100</v>
      </c>
      <c r="E162" s="68">
        <f aca="true" t="shared" si="76" ref="E162:R163">E163</f>
        <v>323.78499999999997</v>
      </c>
      <c r="F162" s="68">
        <f t="shared" si="76"/>
        <v>0</v>
      </c>
      <c r="G162" s="68">
        <f t="shared" si="76"/>
        <v>0</v>
      </c>
      <c r="H162" s="68">
        <f t="shared" si="76"/>
        <v>0</v>
      </c>
      <c r="I162" s="68">
        <f t="shared" si="76"/>
        <v>0</v>
      </c>
      <c r="J162" s="68">
        <f t="shared" si="76"/>
        <v>0</v>
      </c>
      <c r="K162" s="68">
        <f t="shared" si="76"/>
        <v>0</v>
      </c>
      <c r="L162" s="68">
        <f t="shared" si="76"/>
        <v>0</v>
      </c>
      <c r="M162" s="68">
        <f t="shared" si="76"/>
        <v>0</v>
      </c>
      <c r="N162" s="68">
        <f t="shared" si="76"/>
        <v>63.785</v>
      </c>
      <c r="O162" s="68">
        <f t="shared" si="76"/>
        <v>0</v>
      </c>
      <c r="P162" s="68">
        <f t="shared" si="76"/>
        <v>0</v>
      </c>
      <c r="Q162" s="68">
        <f t="shared" si="76"/>
        <v>160</v>
      </c>
      <c r="R162" s="68">
        <f t="shared" si="76"/>
        <v>0</v>
      </c>
    </row>
    <row r="163" spans="1:18" ht="51">
      <c r="A163" s="66" t="s">
        <v>313</v>
      </c>
      <c r="B163" s="41"/>
      <c r="C163" s="57" t="s">
        <v>315</v>
      </c>
      <c r="D163" s="68">
        <f>D164</f>
        <v>100</v>
      </c>
      <c r="E163" s="68">
        <f t="shared" si="76"/>
        <v>323.78499999999997</v>
      </c>
      <c r="F163" s="68">
        <f t="shared" si="76"/>
        <v>0</v>
      </c>
      <c r="G163" s="68">
        <f t="shared" si="76"/>
        <v>0</v>
      </c>
      <c r="H163" s="68">
        <f t="shared" si="76"/>
        <v>0</v>
      </c>
      <c r="I163" s="68">
        <f t="shared" si="76"/>
        <v>0</v>
      </c>
      <c r="J163" s="68">
        <f t="shared" si="76"/>
        <v>0</v>
      </c>
      <c r="K163" s="68">
        <f t="shared" si="76"/>
        <v>0</v>
      </c>
      <c r="L163" s="68">
        <f t="shared" si="76"/>
        <v>0</v>
      </c>
      <c r="M163" s="68">
        <f t="shared" si="76"/>
        <v>0</v>
      </c>
      <c r="N163" s="68">
        <f t="shared" si="76"/>
        <v>63.785</v>
      </c>
      <c r="O163" s="68">
        <f t="shared" si="76"/>
        <v>0</v>
      </c>
      <c r="P163" s="68">
        <f t="shared" si="76"/>
        <v>0</v>
      </c>
      <c r="Q163" s="68">
        <f t="shared" si="76"/>
        <v>160</v>
      </c>
      <c r="R163" s="68">
        <f t="shared" si="76"/>
        <v>0</v>
      </c>
    </row>
    <row r="164" spans="1:18" ht="25.5">
      <c r="A164" s="66"/>
      <c r="B164" s="41" t="s">
        <v>11</v>
      </c>
      <c r="C164" s="67" t="s">
        <v>12</v>
      </c>
      <c r="D164" s="68">
        <v>100</v>
      </c>
      <c r="E164" s="64">
        <f>D164+SUM(F164:R164)</f>
        <v>323.78499999999997</v>
      </c>
      <c r="F164" s="68"/>
      <c r="G164" s="68"/>
      <c r="H164" s="69"/>
      <c r="I164" s="69"/>
      <c r="J164" s="68"/>
      <c r="K164" s="68"/>
      <c r="L164" s="68"/>
      <c r="M164" s="68"/>
      <c r="N164" s="68">
        <v>63.785</v>
      </c>
      <c r="O164" s="68"/>
      <c r="P164" s="68"/>
      <c r="Q164" s="68">
        <v>160</v>
      </c>
      <c r="R164" s="68"/>
    </row>
    <row r="165" spans="1:18" ht="25.5" hidden="1">
      <c r="A165" s="66" t="s">
        <v>316</v>
      </c>
      <c r="B165" s="41"/>
      <c r="C165" s="57" t="s">
        <v>318</v>
      </c>
      <c r="D165" s="68">
        <f>D166</f>
        <v>407.8</v>
      </c>
      <c r="E165" s="68">
        <f aca="true" t="shared" si="77" ref="E165:R166">E166</f>
        <v>567.8</v>
      </c>
      <c r="F165" s="68">
        <f t="shared" si="77"/>
        <v>0</v>
      </c>
      <c r="G165" s="68">
        <f t="shared" si="77"/>
        <v>0</v>
      </c>
      <c r="H165" s="68">
        <f t="shared" si="77"/>
        <v>0</v>
      </c>
      <c r="I165" s="68">
        <f t="shared" si="77"/>
        <v>0</v>
      </c>
      <c r="J165" s="68">
        <f t="shared" si="77"/>
        <v>0</v>
      </c>
      <c r="K165" s="68">
        <f t="shared" si="77"/>
        <v>0</v>
      </c>
      <c r="L165" s="68">
        <f t="shared" si="77"/>
        <v>0</v>
      </c>
      <c r="M165" s="68">
        <f t="shared" si="77"/>
        <v>0</v>
      </c>
      <c r="N165" s="68">
        <f t="shared" si="77"/>
        <v>0</v>
      </c>
      <c r="O165" s="68">
        <f t="shared" si="77"/>
        <v>160</v>
      </c>
      <c r="P165" s="68">
        <f t="shared" si="77"/>
        <v>0</v>
      </c>
      <c r="Q165" s="68">
        <f t="shared" si="77"/>
        <v>0</v>
      </c>
      <c r="R165" s="68">
        <f t="shared" si="77"/>
        <v>0</v>
      </c>
    </row>
    <row r="166" spans="1:18" ht="51" hidden="1">
      <c r="A166" s="66" t="s">
        <v>317</v>
      </c>
      <c r="B166" s="41"/>
      <c r="C166" s="57" t="s">
        <v>315</v>
      </c>
      <c r="D166" s="68">
        <f>D167</f>
        <v>407.8</v>
      </c>
      <c r="E166" s="68">
        <f t="shared" si="77"/>
        <v>567.8</v>
      </c>
      <c r="F166" s="68">
        <f t="shared" si="77"/>
        <v>0</v>
      </c>
      <c r="G166" s="68">
        <f t="shared" si="77"/>
        <v>0</v>
      </c>
      <c r="H166" s="68">
        <f t="shared" si="77"/>
        <v>0</v>
      </c>
      <c r="I166" s="68">
        <f t="shared" si="77"/>
        <v>0</v>
      </c>
      <c r="J166" s="68">
        <f t="shared" si="77"/>
        <v>0</v>
      </c>
      <c r="K166" s="68">
        <f t="shared" si="77"/>
        <v>0</v>
      </c>
      <c r="L166" s="68">
        <f t="shared" si="77"/>
        <v>0</v>
      </c>
      <c r="M166" s="68">
        <f t="shared" si="77"/>
        <v>0</v>
      </c>
      <c r="N166" s="68">
        <f t="shared" si="77"/>
        <v>0</v>
      </c>
      <c r="O166" s="68">
        <f t="shared" si="77"/>
        <v>160</v>
      </c>
      <c r="P166" s="68">
        <f t="shared" si="77"/>
        <v>0</v>
      </c>
      <c r="Q166" s="68">
        <f t="shared" si="77"/>
        <v>0</v>
      </c>
      <c r="R166" s="68">
        <f t="shared" si="77"/>
        <v>0</v>
      </c>
    </row>
    <row r="167" spans="1:18" ht="28.5" customHeight="1" hidden="1">
      <c r="A167" s="66"/>
      <c r="B167" s="41" t="s">
        <v>11</v>
      </c>
      <c r="C167" s="67" t="s">
        <v>12</v>
      </c>
      <c r="D167" s="68">
        <f>407.8</f>
        <v>407.8</v>
      </c>
      <c r="E167" s="64">
        <f>D167+SUM(F167:R167)</f>
        <v>567.8</v>
      </c>
      <c r="F167" s="68"/>
      <c r="G167" s="68"/>
      <c r="H167" s="69"/>
      <c r="I167" s="69"/>
      <c r="J167" s="68"/>
      <c r="K167" s="68"/>
      <c r="L167" s="68"/>
      <c r="M167" s="68"/>
      <c r="N167" s="68"/>
      <c r="O167" s="68">
        <v>160</v>
      </c>
      <c r="P167" s="68"/>
      <c r="Q167" s="68"/>
      <c r="R167" s="68"/>
    </row>
    <row r="168" spans="1:18" ht="51" hidden="1">
      <c r="A168" s="82" t="s">
        <v>319</v>
      </c>
      <c r="B168" s="41"/>
      <c r="C168" s="61" t="s">
        <v>128</v>
      </c>
      <c r="D168" s="120">
        <f>D169+D174</f>
        <v>4867.8</v>
      </c>
      <c r="E168" s="120">
        <f aca="true" t="shared" si="78" ref="E168:R168">E169+E174</f>
        <v>5149.115</v>
      </c>
      <c r="F168" s="120">
        <f t="shared" si="78"/>
        <v>0</v>
      </c>
      <c r="G168" s="68">
        <f t="shared" si="78"/>
        <v>0</v>
      </c>
      <c r="H168" s="68">
        <f t="shared" si="78"/>
        <v>390.1</v>
      </c>
      <c r="I168" s="68">
        <f t="shared" si="78"/>
        <v>0</v>
      </c>
      <c r="J168" s="68">
        <f t="shared" si="78"/>
        <v>0</v>
      </c>
      <c r="K168" s="68">
        <f t="shared" si="78"/>
        <v>0</v>
      </c>
      <c r="L168" s="68">
        <f t="shared" si="78"/>
        <v>0</v>
      </c>
      <c r="M168" s="68">
        <f t="shared" si="78"/>
        <v>0</v>
      </c>
      <c r="N168" s="68">
        <f t="shared" si="78"/>
        <v>-3.785</v>
      </c>
      <c r="O168" s="68">
        <f t="shared" si="78"/>
        <v>-105</v>
      </c>
      <c r="P168" s="68">
        <f>P169+P174</f>
        <v>0</v>
      </c>
      <c r="Q168" s="68">
        <f>Q169+Q174</f>
        <v>0</v>
      </c>
      <c r="R168" s="68">
        <f t="shared" si="78"/>
        <v>0</v>
      </c>
    </row>
    <row r="169" spans="1:18" ht="30.75" customHeight="1" hidden="1">
      <c r="A169" s="66" t="s">
        <v>320</v>
      </c>
      <c r="B169" s="41"/>
      <c r="C169" s="57" t="s">
        <v>165</v>
      </c>
      <c r="D169" s="68">
        <f>D170</f>
        <v>3339.4</v>
      </c>
      <c r="E169" s="68">
        <f aca="true" t="shared" si="79" ref="E169:R169">E170</f>
        <v>3492.1150000000002</v>
      </c>
      <c r="F169" s="68">
        <f t="shared" si="79"/>
        <v>0</v>
      </c>
      <c r="G169" s="68">
        <f t="shared" si="79"/>
        <v>0</v>
      </c>
      <c r="H169" s="68">
        <f t="shared" si="79"/>
        <v>261.5</v>
      </c>
      <c r="I169" s="68">
        <f t="shared" si="79"/>
        <v>0</v>
      </c>
      <c r="J169" s="68">
        <f t="shared" si="79"/>
        <v>0</v>
      </c>
      <c r="K169" s="68">
        <f t="shared" si="79"/>
        <v>0</v>
      </c>
      <c r="L169" s="68">
        <f t="shared" si="79"/>
        <v>0</v>
      </c>
      <c r="M169" s="68">
        <f t="shared" si="79"/>
        <v>0</v>
      </c>
      <c r="N169" s="68">
        <f t="shared" si="79"/>
        <v>-3.785</v>
      </c>
      <c r="O169" s="68">
        <f t="shared" si="79"/>
        <v>-105</v>
      </c>
      <c r="P169" s="68">
        <f t="shared" si="79"/>
        <v>0</v>
      </c>
      <c r="Q169" s="68">
        <f t="shared" si="79"/>
        <v>0</v>
      </c>
      <c r="R169" s="68">
        <f t="shared" si="79"/>
        <v>0</v>
      </c>
    </row>
    <row r="170" spans="1:18" ht="30.75" customHeight="1" hidden="1">
      <c r="A170" s="66" t="s">
        <v>321</v>
      </c>
      <c r="B170" s="41"/>
      <c r="C170" s="57" t="s">
        <v>166</v>
      </c>
      <c r="D170" s="68">
        <f>D171+D172+D173</f>
        <v>3339.4</v>
      </c>
      <c r="E170" s="68">
        <f aca="true" t="shared" si="80" ref="E170:R170">E171+E172+E173</f>
        <v>3492.1150000000002</v>
      </c>
      <c r="F170" s="68">
        <f t="shared" si="80"/>
        <v>0</v>
      </c>
      <c r="G170" s="68">
        <f t="shared" si="80"/>
        <v>0</v>
      </c>
      <c r="H170" s="68">
        <f t="shared" si="80"/>
        <v>261.5</v>
      </c>
      <c r="I170" s="68">
        <f t="shared" si="80"/>
        <v>0</v>
      </c>
      <c r="J170" s="68">
        <f t="shared" si="80"/>
        <v>0</v>
      </c>
      <c r="K170" s="68">
        <f t="shared" si="80"/>
        <v>0</v>
      </c>
      <c r="L170" s="68">
        <f t="shared" si="80"/>
        <v>0</v>
      </c>
      <c r="M170" s="68">
        <f t="shared" si="80"/>
        <v>0</v>
      </c>
      <c r="N170" s="68">
        <f t="shared" si="80"/>
        <v>-3.785</v>
      </c>
      <c r="O170" s="68">
        <f t="shared" si="80"/>
        <v>-105</v>
      </c>
      <c r="P170" s="68">
        <f>P171+P172+P173</f>
        <v>0</v>
      </c>
      <c r="Q170" s="68">
        <f>Q171+Q172+Q173</f>
        <v>0</v>
      </c>
      <c r="R170" s="68">
        <f t="shared" si="80"/>
        <v>0</v>
      </c>
    </row>
    <row r="171" spans="1:18" ht="51" hidden="1">
      <c r="A171" s="66"/>
      <c r="B171" s="41" t="s">
        <v>2</v>
      </c>
      <c r="C171" s="67" t="s">
        <v>94</v>
      </c>
      <c r="D171" s="68">
        <f>2907.4</f>
        <v>2907.4</v>
      </c>
      <c r="E171" s="64">
        <f>D171+SUM(F171:R171)</f>
        <v>3168.9</v>
      </c>
      <c r="F171" s="68"/>
      <c r="G171" s="68"/>
      <c r="H171" s="69">
        <f>261.5</f>
        <v>261.5</v>
      </c>
      <c r="I171" s="69"/>
      <c r="J171" s="68"/>
      <c r="K171" s="79"/>
      <c r="L171" s="68"/>
      <c r="M171" s="68"/>
      <c r="N171" s="68"/>
      <c r="O171" s="68"/>
      <c r="P171" s="68"/>
      <c r="Q171" s="68"/>
      <c r="R171" s="68"/>
    </row>
    <row r="172" spans="1:18" ht="25.5" hidden="1">
      <c r="A172" s="66"/>
      <c r="B172" s="41" t="s">
        <v>3</v>
      </c>
      <c r="C172" s="67" t="s">
        <v>95</v>
      </c>
      <c r="D172" s="68">
        <f>420.1</f>
        <v>420.1</v>
      </c>
      <c r="E172" s="64">
        <f>D172+SUM(F172:R172)</f>
        <v>297.31500000000005</v>
      </c>
      <c r="F172" s="68"/>
      <c r="G172" s="68"/>
      <c r="H172" s="69"/>
      <c r="I172" s="69"/>
      <c r="J172" s="68"/>
      <c r="K172" s="68">
        <f>-14</f>
        <v>-14</v>
      </c>
      <c r="L172" s="68"/>
      <c r="M172" s="68"/>
      <c r="N172" s="68">
        <v>-3.785</v>
      </c>
      <c r="O172" s="68">
        <v>-105</v>
      </c>
      <c r="P172" s="68"/>
      <c r="Q172" s="68"/>
      <c r="R172" s="68"/>
    </row>
    <row r="173" spans="1:18" ht="12.75" hidden="1">
      <c r="A173" s="66"/>
      <c r="B173" s="41" t="s">
        <v>4</v>
      </c>
      <c r="C173" s="67" t="s">
        <v>5</v>
      </c>
      <c r="D173" s="68">
        <f>11.9</f>
        <v>11.9</v>
      </c>
      <c r="E173" s="64">
        <f>D173+SUM(F173:R173)</f>
        <v>25.9</v>
      </c>
      <c r="F173" s="68"/>
      <c r="G173" s="68"/>
      <c r="H173" s="69"/>
      <c r="I173" s="69"/>
      <c r="J173" s="68"/>
      <c r="K173" s="68">
        <f>14</f>
        <v>14</v>
      </c>
      <c r="L173" s="68"/>
      <c r="M173" s="68"/>
      <c r="N173" s="68"/>
      <c r="O173" s="68"/>
      <c r="P173" s="68"/>
      <c r="Q173" s="68"/>
      <c r="R173" s="68"/>
    </row>
    <row r="174" spans="1:18" ht="25.5" hidden="1">
      <c r="A174" s="66" t="s">
        <v>323</v>
      </c>
      <c r="B174" s="41"/>
      <c r="C174" s="57" t="s">
        <v>518</v>
      </c>
      <c r="D174" s="68">
        <f>D175</f>
        <v>1528.4</v>
      </c>
      <c r="E174" s="68">
        <f aca="true" t="shared" si="81" ref="E174:R174">E175</f>
        <v>1657</v>
      </c>
      <c r="F174" s="68">
        <f t="shared" si="81"/>
        <v>0</v>
      </c>
      <c r="G174" s="68">
        <f t="shared" si="81"/>
        <v>0</v>
      </c>
      <c r="H174" s="68">
        <f t="shared" si="81"/>
        <v>128.6</v>
      </c>
      <c r="I174" s="68">
        <f t="shared" si="81"/>
        <v>0</v>
      </c>
      <c r="J174" s="68">
        <f t="shared" si="81"/>
        <v>0</v>
      </c>
      <c r="K174" s="68">
        <f t="shared" si="81"/>
        <v>0</v>
      </c>
      <c r="L174" s="68">
        <f t="shared" si="81"/>
        <v>0</v>
      </c>
      <c r="M174" s="68">
        <f t="shared" si="81"/>
        <v>0</v>
      </c>
      <c r="N174" s="68">
        <f t="shared" si="81"/>
        <v>0</v>
      </c>
      <c r="O174" s="68">
        <f t="shared" si="81"/>
        <v>0</v>
      </c>
      <c r="P174" s="68">
        <f t="shared" si="81"/>
        <v>0</v>
      </c>
      <c r="Q174" s="68">
        <f t="shared" si="81"/>
        <v>0</v>
      </c>
      <c r="R174" s="68">
        <f t="shared" si="81"/>
        <v>0</v>
      </c>
    </row>
    <row r="175" spans="1:18" ht="25.5" hidden="1">
      <c r="A175" s="66" t="s">
        <v>322</v>
      </c>
      <c r="B175" s="41"/>
      <c r="C175" s="57" t="s">
        <v>278</v>
      </c>
      <c r="D175" s="68">
        <f>D176+D177</f>
        <v>1528.4</v>
      </c>
      <c r="E175" s="68">
        <f aca="true" t="shared" si="82" ref="E175:R175">E176+E177</f>
        <v>1657</v>
      </c>
      <c r="F175" s="68">
        <f t="shared" si="82"/>
        <v>0</v>
      </c>
      <c r="G175" s="68">
        <f t="shared" si="82"/>
        <v>0</v>
      </c>
      <c r="H175" s="68">
        <f t="shared" si="82"/>
        <v>128.6</v>
      </c>
      <c r="I175" s="68">
        <f t="shared" si="82"/>
        <v>0</v>
      </c>
      <c r="J175" s="68">
        <f t="shared" si="82"/>
        <v>0</v>
      </c>
      <c r="K175" s="68">
        <f t="shared" si="82"/>
        <v>0</v>
      </c>
      <c r="L175" s="68">
        <f t="shared" si="82"/>
        <v>0</v>
      </c>
      <c r="M175" s="68">
        <f t="shared" si="82"/>
        <v>0</v>
      </c>
      <c r="N175" s="68">
        <f t="shared" si="82"/>
        <v>0</v>
      </c>
      <c r="O175" s="68">
        <f t="shared" si="82"/>
        <v>0</v>
      </c>
      <c r="P175" s="68">
        <f>P176+P177</f>
        <v>0</v>
      </c>
      <c r="Q175" s="68">
        <f>Q176+Q177</f>
        <v>0</v>
      </c>
      <c r="R175" s="68">
        <f t="shared" si="82"/>
        <v>0</v>
      </c>
    </row>
    <row r="176" spans="1:18" ht="51" hidden="1">
      <c r="A176" s="66"/>
      <c r="B176" s="41" t="s">
        <v>2</v>
      </c>
      <c r="C176" s="67" t="s">
        <v>94</v>
      </c>
      <c r="D176" s="68">
        <f>1391</f>
        <v>1391</v>
      </c>
      <c r="E176" s="64">
        <f>D176+SUM(F176:R176)</f>
        <v>1519.6</v>
      </c>
      <c r="F176" s="68"/>
      <c r="G176" s="68"/>
      <c r="H176" s="69">
        <f>128.6</f>
        <v>128.6</v>
      </c>
      <c r="I176" s="69"/>
      <c r="J176" s="68"/>
      <c r="K176" s="68"/>
      <c r="L176" s="68"/>
      <c r="M176" s="68"/>
      <c r="N176" s="68"/>
      <c r="O176" s="68"/>
      <c r="P176" s="68"/>
      <c r="Q176" s="68"/>
      <c r="R176" s="68"/>
    </row>
    <row r="177" spans="1:18" s="21" customFormat="1" ht="29.25" customHeight="1" hidden="1">
      <c r="A177" s="66"/>
      <c r="B177" s="41" t="s">
        <v>3</v>
      </c>
      <c r="C177" s="67" t="s">
        <v>95</v>
      </c>
      <c r="D177" s="64">
        <f>137.4</f>
        <v>137.4</v>
      </c>
      <c r="E177" s="64">
        <f>D177+SUM(F177:R177)</f>
        <v>137.4</v>
      </c>
      <c r="F177" s="64"/>
      <c r="G177" s="64"/>
      <c r="H177" s="65"/>
      <c r="I177" s="65"/>
      <c r="J177" s="64"/>
      <c r="K177" s="64"/>
      <c r="L177" s="64"/>
      <c r="M177" s="64"/>
      <c r="N177" s="64"/>
      <c r="O177" s="64"/>
      <c r="P177" s="64"/>
      <c r="Q177" s="64"/>
      <c r="R177" s="64"/>
    </row>
    <row r="178" spans="1:18" s="21" customFormat="1" ht="60" customHeight="1" hidden="1">
      <c r="A178" s="82" t="s">
        <v>509</v>
      </c>
      <c r="B178" s="99"/>
      <c r="C178" s="103" t="s">
        <v>512</v>
      </c>
      <c r="D178" s="64">
        <f>D179</f>
        <v>190</v>
      </c>
      <c r="E178" s="64">
        <f aca="true" t="shared" si="83" ref="E178:R180">E179</f>
        <v>130</v>
      </c>
      <c r="F178" s="64">
        <f t="shared" si="83"/>
        <v>0</v>
      </c>
      <c r="G178" s="64">
        <f t="shared" si="83"/>
        <v>0</v>
      </c>
      <c r="H178" s="64">
        <f t="shared" si="83"/>
        <v>0</v>
      </c>
      <c r="I178" s="64">
        <f t="shared" si="83"/>
        <v>0</v>
      </c>
      <c r="J178" s="64">
        <f t="shared" si="83"/>
        <v>0</v>
      </c>
      <c r="K178" s="64">
        <f t="shared" si="83"/>
        <v>0</v>
      </c>
      <c r="L178" s="64">
        <f t="shared" si="83"/>
        <v>0</v>
      </c>
      <c r="M178" s="64">
        <f t="shared" si="83"/>
        <v>0</v>
      </c>
      <c r="N178" s="64">
        <f t="shared" si="83"/>
        <v>-60</v>
      </c>
      <c r="O178" s="64">
        <f t="shared" si="83"/>
        <v>0</v>
      </c>
      <c r="P178" s="64">
        <f t="shared" si="83"/>
        <v>0</v>
      </c>
      <c r="Q178" s="64">
        <f t="shared" si="83"/>
        <v>0</v>
      </c>
      <c r="R178" s="64">
        <f t="shared" si="83"/>
        <v>0</v>
      </c>
    </row>
    <row r="179" spans="1:18" s="21" customFormat="1" ht="58.5" customHeight="1" hidden="1">
      <c r="A179" s="66" t="s">
        <v>510</v>
      </c>
      <c r="B179" s="41"/>
      <c r="C179" s="67" t="s">
        <v>195</v>
      </c>
      <c r="D179" s="64">
        <f>D180</f>
        <v>190</v>
      </c>
      <c r="E179" s="64">
        <f t="shared" si="83"/>
        <v>130</v>
      </c>
      <c r="F179" s="64">
        <f t="shared" si="83"/>
        <v>0</v>
      </c>
      <c r="G179" s="64">
        <f t="shared" si="83"/>
        <v>0</v>
      </c>
      <c r="H179" s="64">
        <f t="shared" si="83"/>
        <v>0</v>
      </c>
      <c r="I179" s="64">
        <f t="shared" si="83"/>
        <v>0</v>
      </c>
      <c r="J179" s="64">
        <f t="shared" si="83"/>
        <v>0</v>
      </c>
      <c r="K179" s="64">
        <f t="shared" si="83"/>
        <v>0</v>
      </c>
      <c r="L179" s="64">
        <f t="shared" si="83"/>
        <v>0</v>
      </c>
      <c r="M179" s="64">
        <f t="shared" si="83"/>
        <v>0</v>
      </c>
      <c r="N179" s="64">
        <f t="shared" si="83"/>
        <v>-60</v>
      </c>
      <c r="O179" s="64">
        <f t="shared" si="83"/>
        <v>0</v>
      </c>
      <c r="P179" s="64">
        <f t="shared" si="83"/>
        <v>0</v>
      </c>
      <c r="Q179" s="64">
        <f t="shared" si="83"/>
        <v>0</v>
      </c>
      <c r="R179" s="64">
        <f t="shared" si="83"/>
        <v>0</v>
      </c>
    </row>
    <row r="180" spans="1:18" s="21" customFormat="1" ht="42" customHeight="1" hidden="1">
      <c r="A180" s="66" t="s">
        <v>511</v>
      </c>
      <c r="B180" s="41"/>
      <c r="C180" s="67" t="s">
        <v>513</v>
      </c>
      <c r="D180" s="64">
        <f>D181</f>
        <v>190</v>
      </c>
      <c r="E180" s="64">
        <f t="shared" si="83"/>
        <v>130</v>
      </c>
      <c r="F180" s="64">
        <f t="shared" si="83"/>
        <v>0</v>
      </c>
      <c r="G180" s="64">
        <f t="shared" si="83"/>
        <v>0</v>
      </c>
      <c r="H180" s="64">
        <f t="shared" si="83"/>
        <v>0</v>
      </c>
      <c r="I180" s="64">
        <f t="shared" si="83"/>
        <v>0</v>
      </c>
      <c r="J180" s="64">
        <f t="shared" si="83"/>
        <v>0</v>
      </c>
      <c r="K180" s="64">
        <f t="shared" si="83"/>
        <v>0</v>
      </c>
      <c r="L180" s="64">
        <f t="shared" si="83"/>
        <v>0</v>
      </c>
      <c r="M180" s="64">
        <f t="shared" si="83"/>
        <v>0</v>
      </c>
      <c r="N180" s="64">
        <f t="shared" si="83"/>
        <v>-60</v>
      </c>
      <c r="O180" s="64">
        <f t="shared" si="83"/>
        <v>0</v>
      </c>
      <c r="P180" s="64">
        <f t="shared" si="83"/>
        <v>0</v>
      </c>
      <c r="Q180" s="64">
        <f t="shared" si="83"/>
        <v>0</v>
      </c>
      <c r="R180" s="64">
        <f t="shared" si="83"/>
        <v>0</v>
      </c>
    </row>
    <row r="181" spans="1:18" s="21" customFormat="1" ht="29.25" customHeight="1" hidden="1">
      <c r="A181" s="66"/>
      <c r="B181" s="41" t="s">
        <v>11</v>
      </c>
      <c r="C181" s="67" t="s">
        <v>12</v>
      </c>
      <c r="D181" s="64">
        <f>50+80+60</f>
        <v>190</v>
      </c>
      <c r="E181" s="64">
        <f>D181+SUM(F181:R181)</f>
        <v>130</v>
      </c>
      <c r="F181" s="64"/>
      <c r="G181" s="64"/>
      <c r="H181" s="65"/>
      <c r="I181" s="65"/>
      <c r="J181" s="64"/>
      <c r="K181" s="64"/>
      <c r="L181" s="64"/>
      <c r="M181" s="64"/>
      <c r="N181" s="64">
        <v>-60</v>
      </c>
      <c r="O181" s="64"/>
      <c r="P181" s="64"/>
      <c r="Q181" s="64"/>
      <c r="R181" s="64"/>
    </row>
    <row r="182" spans="1:18" s="21" customFormat="1" ht="35.25" customHeight="1" hidden="1">
      <c r="A182" s="63" t="s">
        <v>324</v>
      </c>
      <c r="B182" s="11"/>
      <c r="C182" s="60" t="s">
        <v>129</v>
      </c>
      <c r="D182" s="71">
        <f>D183+D191+D200</f>
        <v>17310.7</v>
      </c>
      <c r="E182" s="71">
        <f aca="true" t="shared" si="84" ref="E182:R182">E183+E191+E200</f>
        <v>59190.924849999996</v>
      </c>
      <c r="F182" s="71">
        <f t="shared" si="84"/>
        <v>0</v>
      </c>
      <c r="G182" s="71">
        <f t="shared" si="84"/>
        <v>46696.00249</v>
      </c>
      <c r="H182" s="71">
        <f t="shared" si="84"/>
        <v>399.3</v>
      </c>
      <c r="I182" s="71">
        <f t="shared" si="84"/>
        <v>0</v>
      </c>
      <c r="J182" s="71">
        <f t="shared" si="84"/>
        <v>1556.49416</v>
      </c>
      <c r="K182" s="71">
        <f t="shared" si="84"/>
        <v>0</v>
      </c>
      <c r="L182" s="71">
        <f t="shared" si="84"/>
        <v>-972.2178</v>
      </c>
      <c r="M182" s="71">
        <f t="shared" si="84"/>
        <v>-63.454</v>
      </c>
      <c r="N182" s="71">
        <f t="shared" si="84"/>
        <v>-5735.9</v>
      </c>
      <c r="O182" s="71">
        <f t="shared" si="84"/>
        <v>0</v>
      </c>
      <c r="P182" s="71">
        <f>P183+P191+P200</f>
        <v>0</v>
      </c>
      <c r="Q182" s="71">
        <f>Q183+Q191+Q200</f>
        <v>0</v>
      </c>
      <c r="R182" s="71">
        <f t="shared" si="84"/>
        <v>0</v>
      </c>
    </row>
    <row r="183" spans="1:18" s="21" customFormat="1" ht="25.5" hidden="1">
      <c r="A183" s="82" t="s">
        <v>325</v>
      </c>
      <c r="B183" s="41"/>
      <c r="C183" s="61" t="s">
        <v>130</v>
      </c>
      <c r="D183" s="68">
        <f>D184</f>
        <v>900</v>
      </c>
      <c r="E183" s="68">
        <f aca="true" t="shared" si="85" ref="E183:R185">E184</f>
        <v>836.546</v>
      </c>
      <c r="F183" s="68">
        <f t="shared" si="85"/>
        <v>0</v>
      </c>
      <c r="G183" s="68">
        <f t="shared" si="85"/>
        <v>0</v>
      </c>
      <c r="H183" s="68">
        <f t="shared" si="85"/>
        <v>0</v>
      </c>
      <c r="I183" s="68">
        <f t="shared" si="85"/>
        <v>0</v>
      </c>
      <c r="J183" s="68">
        <f t="shared" si="85"/>
        <v>0</v>
      </c>
      <c r="K183" s="68">
        <f t="shared" si="85"/>
        <v>0</v>
      </c>
      <c r="L183" s="68">
        <f t="shared" si="85"/>
        <v>0</v>
      </c>
      <c r="M183" s="68">
        <f t="shared" si="85"/>
        <v>-63.454</v>
      </c>
      <c r="N183" s="68">
        <f t="shared" si="85"/>
        <v>0</v>
      </c>
      <c r="O183" s="68">
        <f t="shared" si="85"/>
        <v>0</v>
      </c>
      <c r="P183" s="68">
        <f t="shared" si="85"/>
        <v>0</v>
      </c>
      <c r="Q183" s="68">
        <f t="shared" si="85"/>
        <v>0</v>
      </c>
      <c r="R183" s="68">
        <f t="shared" si="85"/>
        <v>0</v>
      </c>
    </row>
    <row r="184" spans="1:18" s="21" customFormat="1" ht="25.5" hidden="1">
      <c r="A184" s="66" t="s">
        <v>326</v>
      </c>
      <c r="B184" s="41"/>
      <c r="C184" s="57" t="s">
        <v>331</v>
      </c>
      <c r="D184" s="68">
        <f>D185+D187+D189</f>
        <v>900</v>
      </c>
      <c r="E184" s="68">
        <f aca="true" t="shared" si="86" ref="E184:N184">E185+E187+E189</f>
        <v>836.546</v>
      </c>
      <c r="F184" s="68">
        <f t="shared" si="86"/>
        <v>0</v>
      </c>
      <c r="G184" s="68">
        <f t="shared" si="86"/>
        <v>0</v>
      </c>
      <c r="H184" s="68">
        <f t="shared" si="86"/>
        <v>0</v>
      </c>
      <c r="I184" s="68">
        <f t="shared" si="86"/>
        <v>0</v>
      </c>
      <c r="J184" s="68">
        <f t="shared" si="86"/>
        <v>0</v>
      </c>
      <c r="K184" s="68">
        <f t="shared" si="86"/>
        <v>0</v>
      </c>
      <c r="L184" s="68">
        <f t="shared" si="86"/>
        <v>0</v>
      </c>
      <c r="M184" s="68">
        <f t="shared" si="86"/>
        <v>-63.454</v>
      </c>
      <c r="N184" s="68">
        <f t="shared" si="86"/>
        <v>0</v>
      </c>
      <c r="O184" s="68">
        <f>O185+O187</f>
        <v>0</v>
      </c>
      <c r="P184" s="68">
        <f>P185+P187</f>
        <v>0</v>
      </c>
      <c r="Q184" s="68">
        <f>Q185+Q187</f>
        <v>0</v>
      </c>
      <c r="R184" s="68">
        <f>R185+R187</f>
        <v>0</v>
      </c>
    </row>
    <row r="185" spans="1:18" s="21" customFormat="1" ht="38.25" hidden="1">
      <c r="A185" s="66" t="s">
        <v>327</v>
      </c>
      <c r="B185" s="41"/>
      <c r="C185" s="57" t="s">
        <v>173</v>
      </c>
      <c r="D185" s="68">
        <f>D186</f>
        <v>0</v>
      </c>
      <c r="E185" s="68">
        <f t="shared" si="85"/>
        <v>0</v>
      </c>
      <c r="F185" s="68">
        <f t="shared" si="85"/>
        <v>0</v>
      </c>
      <c r="G185" s="68">
        <f t="shared" si="85"/>
        <v>0</v>
      </c>
      <c r="H185" s="68">
        <f t="shared" si="85"/>
        <v>0</v>
      </c>
      <c r="I185" s="68">
        <f t="shared" si="85"/>
        <v>0</v>
      </c>
      <c r="J185" s="68">
        <f t="shared" si="85"/>
        <v>0</v>
      </c>
      <c r="K185" s="68">
        <f t="shared" si="85"/>
        <v>0</v>
      </c>
      <c r="L185" s="68">
        <f t="shared" si="85"/>
        <v>0</v>
      </c>
      <c r="M185" s="68">
        <f t="shared" si="85"/>
        <v>0</v>
      </c>
      <c r="N185" s="68">
        <f t="shared" si="85"/>
        <v>0</v>
      </c>
      <c r="O185" s="68">
        <f t="shared" si="85"/>
        <v>0</v>
      </c>
      <c r="P185" s="68">
        <f t="shared" si="85"/>
        <v>0</v>
      </c>
      <c r="Q185" s="68">
        <f t="shared" si="85"/>
        <v>0</v>
      </c>
      <c r="R185" s="68">
        <f t="shared" si="85"/>
        <v>0</v>
      </c>
    </row>
    <row r="186" spans="1:18" s="21" customFormat="1" ht="12.75" hidden="1">
      <c r="A186" s="66"/>
      <c r="B186" s="41" t="s">
        <v>9</v>
      </c>
      <c r="C186" s="67" t="s">
        <v>37</v>
      </c>
      <c r="D186" s="68"/>
      <c r="E186" s="64">
        <f>D186+SUM(F186:R186)</f>
        <v>0</v>
      </c>
      <c r="F186" s="68"/>
      <c r="G186" s="68"/>
      <c r="H186" s="69"/>
      <c r="I186" s="69"/>
      <c r="J186" s="68"/>
      <c r="K186" s="68"/>
      <c r="L186" s="68"/>
      <c r="M186" s="68"/>
      <c r="N186" s="68"/>
      <c r="O186" s="68"/>
      <c r="P186" s="68"/>
      <c r="Q186" s="68"/>
      <c r="R186" s="68"/>
    </row>
    <row r="187" spans="1:18" s="21" customFormat="1" ht="25.5" hidden="1">
      <c r="A187" s="66" t="s">
        <v>476</v>
      </c>
      <c r="B187" s="41"/>
      <c r="C187" s="67" t="s">
        <v>477</v>
      </c>
      <c r="D187" s="68">
        <f>D188</f>
        <v>900</v>
      </c>
      <c r="E187" s="68">
        <f aca="true" t="shared" si="87" ref="E187:R187">E188</f>
        <v>0</v>
      </c>
      <c r="F187" s="68">
        <f t="shared" si="87"/>
        <v>0</v>
      </c>
      <c r="G187" s="68">
        <f t="shared" si="87"/>
        <v>0</v>
      </c>
      <c r="H187" s="68">
        <f t="shared" si="87"/>
        <v>0</v>
      </c>
      <c r="I187" s="68">
        <f t="shared" si="87"/>
        <v>0</v>
      </c>
      <c r="J187" s="68">
        <f t="shared" si="87"/>
        <v>0</v>
      </c>
      <c r="K187" s="68">
        <f t="shared" si="87"/>
        <v>0</v>
      </c>
      <c r="L187" s="68">
        <f t="shared" si="87"/>
        <v>-900</v>
      </c>
      <c r="M187" s="68">
        <f t="shared" si="87"/>
        <v>0</v>
      </c>
      <c r="N187" s="68">
        <f t="shared" si="87"/>
        <v>0</v>
      </c>
      <c r="O187" s="68">
        <f t="shared" si="87"/>
        <v>0</v>
      </c>
      <c r="P187" s="68">
        <f t="shared" si="87"/>
        <v>0</v>
      </c>
      <c r="Q187" s="68">
        <f t="shared" si="87"/>
        <v>0</v>
      </c>
      <c r="R187" s="68">
        <f t="shared" si="87"/>
        <v>0</v>
      </c>
    </row>
    <row r="188" spans="1:18" s="21" customFormat="1" ht="12.75" hidden="1">
      <c r="A188" s="66"/>
      <c r="B188" s="41" t="s">
        <v>9</v>
      </c>
      <c r="C188" s="67" t="s">
        <v>37</v>
      </c>
      <c r="D188" s="68">
        <v>900</v>
      </c>
      <c r="E188" s="64">
        <f>D188+SUM(F188:R188)</f>
        <v>0</v>
      </c>
      <c r="F188" s="68"/>
      <c r="G188" s="68"/>
      <c r="H188" s="69"/>
      <c r="I188" s="69"/>
      <c r="J188" s="68"/>
      <c r="K188" s="68"/>
      <c r="L188" s="68">
        <v>-900</v>
      </c>
      <c r="M188" s="68"/>
      <c r="N188" s="68"/>
      <c r="O188" s="68"/>
      <c r="P188" s="68"/>
      <c r="Q188" s="68"/>
      <c r="R188" s="68"/>
    </row>
    <row r="189" spans="1:18" s="21" customFormat="1" ht="25.5" hidden="1">
      <c r="A189" s="66" t="s">
        <v>547</v>
      </c>
      <c r="B189" s="41"/>
      <c r="C189" s="67" t="s">
        <v>477</v>
      </c>
      <c r="D189" s="68">
        <f>D190</f>
        <v>0</v>
      </c>
      <c r="E189" s="68">
        <f aca="true" t="shared" si="88" ref="E189:N189">E190</f>
        <v>836.546</v>
      </c>
      <c r="F189" s="68">
        <f t="shared" si="88"/>
        <v>0</v>
      </c>
      <c r="G189" s="68">
        <f t="shared" si="88"/>
        <v>0</v>
      </c>
      <c r="H189" s="68">
        <f t="shared" si="88"/>
        <v>0</v>
      </c>
      <c r="I189" s="68">
        <f t="shared" si="88"/>
        <v>0</v>
      </c>
      <c r="J189" s="68">
        <f t="shared" si="88"/>
        <v>0</v>
      </c>
      <c r="K189" s="68">
        <f t="shared" si="88"/>
        <v>0</v>
      </c>
      <c r="L189" s="68">
        <f t="shared" si="88"/>
        <v>900</v>
      </c>
      <c r="M189" s="68">
        <f t="shared" si="88"/>
        <v>-63.454</v>
      </c>
      <c r="N189" s="68">
        <f t="shared" si="88"/>
        <v>0</v>
      </c>
      <c r="O189" s="68"/>
      <c r="P189" s="68"/>
      <c r="Q189" s="68"/>
      <c r="R189" s="68"/>
    </row>
    <row r="190" spans="1:18" s="21" customFormat="1" ht="12.75" hidden="1">
      <c r="A190" s="66"/>
      <c r="B190" s="41" t="s">
        <v>9</v>
      </c>
      <c r="C190" s="67" t="s">
        <v>37</v>
      </c>
      <c r="D190" s="68"/>
      <c r="E190" s="64">
        <f>D190+SUM(F190:R190)</f>
        <v>836.546</v>
      </c>
      <c r="F190" s="68"/>
      <c r="G190" s="68"/>
      <c r="H190" s="69"/>
      <c r="I190" s="69"/>
      <c r="J190" s="68"/>
      <c r="K190" s="68"/>
      <c r="L190" s="68">
        <v>900</v>
      </c>
      <c r="M190" s="68">
        <v>-63.454</v>
      </c>
      <c r="N190" s="68"/>
      <c r="O190" s="68"/>
      <c r="P190" s="68"/>
      <c r="Q190" s="68"/>
      <c r="R190" s="68"/>
    </row>
    <row r="191" spans="1:18" s="21" customFormat="1" ht="25.5" hidden="1">
      <c r="A191" s="82" t="s">
        <v>328</v>
      </c>
      <c r="B191" s="41"/>
      <c r="C191" s="61" t="s">
        <v>131</v>
      </c>
      <c r="D191" s="68">
        <f>D192</f>
        <v>11299.5</v>
      </c>
      <c r="E191" s="68">
        <f aca="true" t="shared" si="89" ref="E191:R191">E192</f>
        <v>52843.878849999994</v>
      </c>
      <c r="F191" s="68">
        <f t="shared" si="89"/>
        <v>0</v>
      </c>
      <c r="G191" s="68">
        <f t="shared" si="89"/>
        <v>46696.00249</v>
      </c>
      <c r="H191" s="68">
        <f t="shared" si="89"/>
        <v>0</v>
      </c>
      <c r="I191" s="68">
        <f t="shared" si="89"/>
        <v>0</v>
      </c>
      <c r="J191" s="68">
        <f t="shared" si="89"/>
        <v>1556.49416</v>
      </c>
      <c r="K191" s="68">
        <f t="shared" si="89"/>
        <v>0</v>
      </c>
      <c r="L191" s="68">
        <f t="shared" si="89"/>
        <v>-972.2178</v>
      </c>
      <c r="M191" s="68">
        <f t="shared" si="89"/>
        <v>0</v>
      </c>
      <c r="N191" s="68">
        <f t="shared" si="89"/>
        <v>-5735.9</v>
      </c>
      <c r="O191" s="68">
        <f t="shared" si="89"/>
        <v>0</v>
      </c>
      <c r="P191" s="68">
        <f t="shared" si="89"/>
        <v>0</v>
      </c>
      <c r="Q191" s="68">
        <f t="shared" si="89"/>
        <v>0</v>
      </c>
      <c r="R191" s="68">
        <f t="shared" si="89"/>
        <v>0</v>
      </c>
    </row>
    <row r="192" spans="1:18" s="21" customFormat="1" ht="29.25" customHeight="1" hidden="1">
      <c r="A192" s="66" t="s">
        <v>329</v>
      </c>
      <c r="B192" s="41"/>
      <c r="C192" s="100" t="s">
        <v>332</v>
      </c>
      <c r="D192" s="68">
        <f>D197+D193+D195</f>
        <v>11299.5</v>
      </c>
      <c r="E192" s="68">
        <f aca="true" t="shared" si="90" ref="E192:R192">E197+E193+E195</f>
        <v>52843.878849999994</v>
      </c>
      <c r="F192" s="68">
        <f t="shared" si="90"/>
        <v>0</v>
      </c>
      <c r="G192" s="68">
        <f t="shared" si="90"/>
        <v>46696.00249</v>
      </c>
      <c r="H192" s="68">
        <f t="shared" si="90"/>
        <v>0</v>
      </c>
      <c r="I192" s="68">
        <f t="shared" si="90"/>
        <v>0</v>
      </c>
      <c r="J192" s="68">
        <f t="shared" si="90"/>
        <v>1556.49416</v>
      </c>
      <c r="K192" s="68">
        <f t="shared" si="90"/>
        <v>0</v>
      </c>
      <c r="L192" s="68">
        <f t="shared" si="90"/>
        <v>-972.2178</v>
      </c>
      <c r="M192" s="68">
        <f t="shared" si="90"/>
        <v>0</v>
      </c>
      <c r="N192" s="68">
        <f t="shared" si="90"/>
        <v>-5735.9</v>
      </c>
      <c r="O192" s="68">
        <f t="shared" si="90"/>
        <v>0</v>
      </c>
      <c r="P192" s="68">
        <f>P197+P193+P195</f>
        <v>0</v>
      </c>
      <c r="Q192" s="68">
        <f>Q197+Q193+Q195</f>
        <v>0</v>
      </c>
      <c r="R192" s="68">
        <f t="shared" si="90"/>
        <v>0</v>
      </c>
    </row>
    <row r="193" spans="1:18" s="21" customFormat="1" ht="51" customHeight="1" hidden="1">
      <c r="A193" s="66" t="s">
        <v>449</v>
      </c>
      <c r="B193" s="41"/>
      <c r="C193" s="100" t="s">
        <v>450</v>
      </c>
      <c r="D193" s="68">
        <f>D194</f>
        <v>0</v>
      </c>
      <c r="E193" s="68">
        <f aca="true" t="shared" si="91" ref="E193:R193">E194</f>
        <v>25736.6774</v>
      </c>
      <c r="F193" s="68">
        <f t="shared" si="91"/>
        <v>0</v>
      </c>
      <c r="G193" s="68">
        <f t="shared" si="91"/>
        <v>26708.8952</v>
      </c>
      <c r="H193" s="68">
        <f t="shared" si="91"/>
        <v>0</v>
      </c>
      <c r="I193" s="68">
        <f t="shared" si="91"/>
        <v>0</v>
      </c>
      <c r="J193" s="68">
        <f t="shared" si="91"/>
        <v>0</v>
      </c>
      <c r="K193" s="68">
        <f t="shared" si="91"/>
        <v>0</v>
      </c>
      <c r="L193" s="68">
        <f t="shared" si="91"/>
        <v>-972.2178</v>
      </c>
      <c r="M193" s="68">
        <f t="shared" si="91"/>
        <v>0</v>
      </c>
      <c r="N193" s="68">
        <f t="shared" si="91"/>
        <v>0</v>
      </c>
      <c r="O193" s="68">
        <f t="shared" si="91"/>
        <v>0</v>
      </c>
      <c r="P193" s="68">
        <f t="shared" si="91"/>
        <v>0</v>
      </c>
      <c r="Q193" s="68">
        <f t="shared" si="91"/>
        <v>0</v>
      </c>
      <c r="R193" s="68">
        <f t="shared" si="91"/>
        <v>0</v>
      </c>
    </row>
    <row r="194" spans="1:18" s="21" customFormat="1" ht="40.5" customHeight="1" hidden="1">
      <c r="A194" s="66"/>
      <c r="B194" s="41" t="s">
        <v>10</v>
      </c>
      <c r="C194" s="75" t="s">
        <v>99</v>
      </c>
      <c r="D194" s="68"/>
      <c r="E194" s="64">
        <f>D194+SUM(F194:R194)</f>
        <v>25736.6774</v>
      </c>
      <c r="F194" s="68"/>
      <c r="G194" s="68">
        <f>26708.8952</f>
        <v>26708.8952</v>
      </c>
      <c r="H194" s="68"/>
      <c r="I194" s="68"/>
      <c r="J194" s="68"/>
      <c r="K194" s="68"/>
      <c r="L194" s="68">
        <v>-972.2178</v>
      </c>
      <c r="M194" s="68"/>
      <c r="N194" s="68"/>
      <c r="O194" s="68"/>
      <c r="P194" s="68"/>
      <c r="Q194" s="68"/>
      <c r="R194" s="68"/>
    </row>
    <row r="195" spans="1:18" s="21" customFormat="1" ht="56.25" customHeight="1" hidden="1">
      <c r="A195" s="66" t="s">
        <v>330</v>
      </c>
      <c r="B195" s="41"/>
      <c r="C195" s="100" t="s">
        <v>450</v>
      </c>
      <c r="D195" s="68">
        <f>D196</f>
        <v>0</v>
      </c>
      <c r="E195" s="68">
        <f aca="true" t="shared" si="92" ref="E195:R195">E196</f>
        <v>21543.60145</v>
      </c>
      <c r="F195" s="68">
        <f t="shared" si="92"/>
        <v>0</v>
      </c>
      <c r="G195" s="68">
        <f t="shared" si="92"/>
        <v>19987.10729</v>
      </c>
      <c r="H195" s="68">
        <f t="shared" si="92"/>
        <v>0</v>
      </c>
      <c r="I195" s="68">
        <f t="shared" si="92"/>
        <v>0</v>
      </c>
      <c r="J195" s="68">
        <f t="shared" si="92"/>
        <v>1556.49416</v>
      </c>
      <c r="K195" s="68">
        <f t="shared" si="92"/>
        <v>0</v>
      </c>
      <c r="L195" s="68">
        <f t="shared" si="92"/>
        <v>0</v>
      </c>
      <c r="M195" s="68">
        <f t="shared" si="92"/>
        <v>0</v>
      </c>
      <c r="N195" s="68">
        <f t="shared" si="92"/>
        <v>0</v>
      </c>
      <c r="O195" s="68">
        <f t="shared" si="92"/>
        <v>0</v>
      </c>
      <c r="P195" s="68">
        <f t="shared" si="92"/>
        <v>0</v>
      </c>
      <c r="Q195" s="68">
        <f t="shared" si="92"/>
        <v>0</v>
      </c>
      <c r="R195" s="68">
        <f t="shared" si="92"/>
        <v>0</v>
      </c>
    </row>
    <row r="196" spans="1:18" s="21" customFormat="1" ht="39" customHeight="1" hidden="1">
      <c r="A196" s="66"/>
      <c r="B196" s="41" t="s">
        <v>10</v>
      </c>
      <c r="C196" s="75" t="s">
        <v>99</v>
      </c>
      <c r="D196" s="68"/>
      <c r="E196" s="64">
        <f>D196+SUM(F196:R196)</f>
        <v>21543.60145</v>
      </c>
      <c r="F196" s="68"/>
      <c r="G196" s="68">
        <f>19987.10729</f>
        <v>19987.10729</v>
      </c>
      <c r="H196" s="68"/>
      <c r="I196" s="68"/>
      <c r="J196" s="68">
        <v>1556.49416</v>
      </c>
      <c r="K196" s="68"/>
      <c r="L196" s="68"/>
      <c r="M196" s="68"/>
      <c r="N196" s="68"/>
      <c r="O196" s="68"/>
      <c r="P196" s="68"/>
      <c r="Q196" s="68"/>
      <c r="R196" s="68"/>
    </row>
    <row r="197" spans="1:18" s="21" customFormat="1" ht="52.5" customHeight="1" hidden="1">
      <c r="A197" s="66" t="s">
        <v>437</v>
      </c>
      <c r="B197" s="41"/>
      <c r="C197" s="100" t="s">
        <v>450</v>
      </c>
      <c r="D197" s="68">
        <f>D198+D199</f>
        <v>11299.5</v>
      </c>
      <c r="E197" s="68">
        <f aca="true" t="shared" si="93" ref="E197:R197">E198+E199</f>
        <v>5563.6</v>
      </c>
      <c r="F197" s="70">
        <f t="shared" si="93"/>
        <v>0</v>
      </c>
      <c r="G197" s="68">
        <f t="shared" si="93"/>
        <v>0</v>
      </c>
      <c r="H197" s="68">
        <f t="shared" si="93"/>
        <v>0</v>
      </c>
      <c r="I197" s="68">
        <f t="shared" si="93"/>
        <v>0</v>
      </c>
      <c r="J197" s="68">
        <f t="shared" si="93"/>
        <v>0</v>
      </c>
      <c r="K197" s="68">
        <f t="shared" si="93"/>
        <v>0</v>
      </c>
      <c r="L197" s="68">
        <f t="shared" si="93"/>
        <v>0</v>
      </c>
      <c r="M197" s="68">
        <f t="shared" si="93"/>
        <v>0</v>
      </c>
      <c r="N197" s="68">
        <f t="shared" si="93"/>
        <v>-5735.9</v>
      </c>
      <c r="O197" s="68">
        <f t="shared" si="93"/>
        <v>0</v>
      </c>
      <c r="P197" s="68">
        <f>P198+P199</f>
        <v>0</v>
      </c>
      <c r="Q197" s="68">
        <f>Q198+Q199</f>
        <v>0</v>
      </c>
      <c r="R197" s="68">
        <f t="shared" si="93"/>
        <v>0</v>
      </c>
    </row>
    <row r="198" spans="1:18" s="21" customFormat="1" ht="21.75" customHeight="1" hidden="1">
      <c r="A198" s="66"/>
      <c r="B198" s="41" t="s">
        <v>6</v>
      </c>
      <c r="C198" s="67" t="s">
        <v>7</v>
      </c>
      <c r="D198" s="68"/>
      <c r="E198" s="64">
        <f>D198+SUM(F198:R198)</f>
        <v>0</v>
      </c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</row>
    <row r="199" spans="1:18" s="21" customFormat="1" ht="38.25" hidden="1">
      <c r="A199" s="82"/>
      <c r="B199" s="41" t="s">
        <v>10</v>
      </c>
      <c r="C199" s="75" t="s">
        <v>99</v>
      </c>
      <c r="D199" s="68">
        <f>11299.5</f>
        <v>11299.5</v>
      </c>
      <c r="E199" s="64">
        <f>D199+SUM(F199:R199)</f>
        <v>5563.6</v>
      </c>
      <c r="F199" s="68"/>
      <c r="G199" s="68"/>
      <c r="H199" s="68"/>
      <c r="I199" s="68"/>
      <c r="J199" s="68"/>
      <c r="K199" s="68"/>
      <c r="L199" s="68"/>
      <c r="M199" s="68"/>
      <c r="N199" s="68">
        <f>-5735.9</f>
        <v>-5735.9</v>
      </c>
      <c r="O199" s="68"/>
      <c r="P199" s="68"/>
      <c r="Q199" s="68"/>
      <c r="R199" s="68"/>
    </row>
    <row r="200" spans="1:18" s="21" customFormat="1" ht="51" hidden="1">
      <c r="A200" s="82" t="s">
        <v>335</v>
      </c>
      <c r="B200" s="41"/>
      <c r="C200" s="85" t="s">
        <v>132</v>
      </c>
      <c r="D200" s="68">
        <f>D201</f>
        <v>5111.2</v>
      </c>
      <c r="E200" s="68">
        <f aca="true" t="shared" si="94" ref="E200:R201">E201</f>
        <v>5510.5</v>
      </c>
      <c r="F200" s="68">
        <f t="shared" si="94"/>
        <v>0</v>
      </c>
      <c r="G200" s="68">
        <f t="shared" si="94"/>
        <v>0</v>
      </c>
      <c r="H200" s="68">
        <f t="shared" si="94"/>
        <v>399.3</v>
      </c>
      <c r="I200" s="68">
        <f t="shared" si="94"/>
        <v>0</v>
      </c>
      <c r="J200" s="68">
        <f t="shared" si="94"/>
        <v>0</v>
      </c>
      <c r="K200" s="68">
        <f t="shared" si="94"/>
        <v>0</v>
      </c>
      <c r="L200" s="68">
        <f t="shared" si="94"/>
        <v>0</v>
      </c>
      <c r="M200" s="68">
        <f t="shared" si="94"/>
        <v>0</v>
      </c>
      <c r="N200" s="68">
        <f t="shared" si="94"/>
        <v>0</v>
      </c>
      <c r="O200" s="68">
        <f t="shared" si="94"/>
        <v>0</v>
      </c>
      <c r="P200" s="68">
        <f t="shared" si="94"/>
        <v>0</v>
      </c>
      <c r="Q200" s="68">
        <f t="shared" si="94"/>
        <v>0</v>
      </c>
      <c r="R200" s="68">
        <f t="shared" si="94"/>
        <v>0</v>
      </c>
    </row>
    <row r="201" spans="1:18" s="21" customFormat="1" ht="25.5" hidden="1">
      <c r="A201" s="66" t="s">
        <v>336</v>
      </c>
      <c r="B201" s="41"/>
      <c r="C201" s="57" t="s">
        <v>338</v>
      </c>
      <c r="D201" s="68">
        <f>D202</f>
        <v>5111.2</v>
      </c>
      <c r="E201" s="68">
        <f t="shared" si="94"/>
        <v>5510.5</v>
      </c>
      <c r="F201" s="68">
        <f t="shared" si="94"/>
        <v>0</v>
      </c>
      <c r="G201" s="68">
        <f t="shared" si="94"/>
        <v>0</v>
      </c>
      <c r="H201" s="68">
        <f t="shared" si="94"/>
        <v>399.3</v>
      </c>
      <c r="I201" s="68">
        <f t="shared" si="94"/>
        <v>0</v>
      </c>
      <c r="J201" s="68">
        <f t="shared" si="94"/>
        <v>0</v>
      </c>
      <c r="K201" s="68">
        <f t="shared" si="94"/>
        <v>0</v>
      </c>
      <c r="L201" s="68">
        <f t="shared" si="94"/>
        <v>0</v>
      </c>
      <c r="M201" s="68">
        <f t="shared" si="94"/>
        <v>0</v>
      </c>
      <c r="N201" s="68">
        <f t="shared" si="94"/>
        <v>0</v>
      </c>
      <c r="O201" s="68">
        <f t="shared" si="94"/>
        <v>0</v>
      </c>
      <c r="P201" s="68">
        <f t="shared" si="94"/>
        <v>0</v>
      </c>
      <c r="Q201" s="68">
        <f t="shared" si="94"/>
        <v>0</v>
      </c>
      <c r="R201" s="68">
        <f t="shared" si="94"/>
        <v>0</v>
      </c>
    </row>
    <row r="202" spans="1:18" s="21" customFormat="1" ht="25.5" hidden="1">
      <c r="A202" s="66" t="s">
        <v>337</v>
      </c>
      <c r="B202" s="41"/>
      <c r="C202" s="57" t="s">
        <v>278</v>
      </c>
      <c r="D202" s="68">
        <f>D203+D204+D205</f>
        <v>5111.2</v>
      </c>
      <c r="E202" s="68">
        <f aca="true" t="shared" si="95" ref="E202:R202">E203+E204+E205</f>
        <v>5510.5</v>
      </c>
      <c r="F202" s="68">
        <f t="shared" si="95"/>
        <v>0</v>
      </c>
      <c r="G202" s="68">
        <f t="shared" si="95"/>
        <v>0</v>
      </c>
      <c r="H202" s="68">
        <f t="shared" si="95"/>
        <v>399.3</v>
      </c>
      <c r="I202" s="68">
        <f t="shared" si="95"/>
        <v>0</v>
      </c>
      <c r="J202" s="68">
        <f t="shared" si="95"/>
        <v>0</v>
      </c>
      <c r="K202" s="68">
        <f t="shared" si="95"/>
        <v>0</v>
      </c>
      <c r="L202" s="68">
        <f t="shared" si="95"/>
        <v>0</v>
      </c>
      <c r="M202" s="68">
        <f t="shared" si="95"/>
        <v>0</v>
      </c>
      <c r="N202" s="68">
        <f t="shared" si="95"/>
        <v>0</v>
      </c>
      <c r="O202" s="68">
        <f t="shared" si="95"/>
        <v>0</v>
      </c>
      <c r="P202" s="68">
        <f>P203+P204+P205</f>
        <v>0</v>
      </c>
      <c r="Q202" s="68">
        <f>Q203+Q204+Q205</f>
        <v>0</v>
      </c>
      <c r="R202" s="68">
        <f t="shared" si="95"/>
        <v>0</v>
      </c>
    </row>
    <row r="203" spans="1:18" s="21" customFormat="1" ht="51" hidden="1">
      <c r="A203" s="66"/>
      <c r="B203" s="41" t="s">
        <v>2</v>
      </c>
      <c r="C203" s="67" t="s">
        <v>94</v>
      </c>
      <c r="D203" s="68">
        <f>4056.2</f>
        <v>4056.2</v>
      </c>
      <c r="E203" s="64">
        <f>D203+SUM(F203:R203)</f>
        <v>4455.5</v>
      </c>
      <c r="F203" s="68"/>
      <c r="G203" s="68"/>
      <c r="H203" s="69">
        <f>399.3</f>
        <v>399.3</v>
      </c>
      <c r="I203" s="69"/>
      <c r="J203" s="68"/>
      <c r="K203" s="68"/>
      <c r="L203" s="68"/>
      <c r="M203" s="68"/>
      <c r="N203" s="68"/>
      <c r="O203" s="68"/>
      <c r="P203" s="68"/>
      <c r="Q203" s="68"/>
      <c r="R203" s="68"/>
    </row>
    <row r="204" spans="1:18" s="21" customFormat="1" ht="25.5" hidden="1">
      <c r="A204" s="66"/>
      <c r="B204" s="41" t="s">
        <v>3</v>
      </c>
      <c r="C204" s="67" t="s">
        <v>95</v>
      </c>
      <c r="D204" s="68">
        <f>1054.3</f>
        <v>1054.3</v>
      </c>
      <c r="E204" s="64">
        <f>D204+SUM(F204:R204)</f>
        <v>1052.3</v>
      </c>
      <c r="F204" s="68"/>
      <c r="G204" s="68"/>
      <c r="H204" s="69"/>
      <c r="I204" s="69"/>
      <c r="J204" s="68">
        <v>-2</v>
      </c>
      <c r="K204" s="68"/>
      <c r="L204" s="68"/>
      <c r="M204" s="68"/>
      <c r="N204" s="68"/>
      <c r="O204" s="68"/>
      <c r="P204" s="68"/>
      <c r="Q204" s="68"/>
      <c r="R204" s="68"/>
    </row>
    <row r="205" spans="1:18" s="21" customFormat="1" ht="12.75" hidden="1">
      <c r="A205" s="66"/>
      <c r="B205" s="41" t="s">
        <v>4</v>
      </c>
      <c r="C205" s="67" t="s">
        <v>5</v>
      </c>
      <c r="D205" s="68">
        <f>0.7</f>
        <v>0.7</v>
      </c>
      <c r="E205" s="64">
        <f>D205+SUM(F205:R205)</f>
        <v>2.7</v>
      </c>
      <c r="F205" s="68"/>
      <c r="G205" s="68"/>
      <c r="H205" s="69"/>
      <c r="I205" s="69"/>
      <c r="J205" s="68">
        <v>2</v>
      </c>
      <c r="K205" s="68"/>
      <c r="L205" s="68"/>
      <c r="M205" s="68"/>
      <c r="N205" s="68"/>
      <c r="O205" s="68"/>
      <c r="P205" s="68"/>
      <c r="Q205" s="68"/>
      <c r="R205" s="68"/>
    </row>
    <row r="206" spans="1:19" s="21" customFormat="1" ht="53.25" customHeight="1" hidden="1">
      <c r="A206" s="63" t="s">
        <v>339</v>
      </c>
      <c r="B206" s="11"/>
      <c r="C206" s="84" t="s">
        <v>133</v>
      </c>
      <c r="D206" s="73">
        <f aca="true" t="shared" si="96" ref="D206:R206">D207+D223+D248</f>
        <v>4791.6</v>
      </c>
      <c r="E206" s="73">
        <f t="shared" si="96"/>
        <v>195.0999999999999</v>
      </c>
      <c r="F206" s="73">
        <f t="shared" si="96"/>
        <v>0</v>
      </c>
      <c r="G206" s="73">
        <f t="shared" si="96"/>
        <v>0</v>
      </c>
      <c r="H206" s="73">
        <f t="shared" si="96"/>
        <v>0</v>
      </c>
      <c r="I206" s="73">
        <f t="shared" si="96"/>
        <v>0</v>
      </c>
      <c r="J206" s="73">
        <f t="shared" si="96"/>
        <v>0</v>
      </c>
      <c r="K206" s="73">
        <f t="shared" si="96"/>
        <v>0</v>
      </c>
      <c r="L206" s="73">
        <f t="shared" si="96"/>
        <v>0</v>
      </c>
      <c r="M206" s="73">
        <f t="shared" si="96"/>
        <v>0</v>
      </c>
      <c r="N206" s="73">
        <f t="shared" si="96"/>
        <v>-4596.5</v>
      </c>
      <c r="O206" s="73">
        <f t="shared" si="96"/>
        <v>0</v>
      </c>
      <c r="P206" s="73">
        <f>P207+P223+P248</f>
        <v>0</v>
      </c>
      <c r="Q206" s="73">
        <f>Q207+Q223+Q248</f>
        <v>0</v>
      </c>
      <c r="R206" s="73">
        <f t="shared" si="96"/>
        <v>0</v>
      </c>
      <c r="S206" s="114"/>
    </row>
    <row r="207" spans="1:18" s="21" customFormat="1" ht="25.5" hidden="1">
      <c r="A207" s="82" t="s">
        <v>340</v>
      </c>
      <c r="B207" s="41"/>
      <c r="C207" s="85" t="s">
        <v>134</v>
      </c>
      <c r="D207" s="68">
        <f>D208+D211+D214+D217+D220</f>
        <v>3200</v>
      </c>
      <c r="E207" s="68">
        <f aca="true" t="shared" si="97" ref="E207:R207">E208+E211+E214+E217+E220</f>
        <v>195.0999999999999</v>
      </c>
      <c r="F207" s="68">
        <f t="shared" si="97"/>
        <v>0</v>
      </c>
      <c r="G207" s="68">
        <f t="shared" si="97"/>
        <v>0</v>
      </c>
      <c r="H207" s="68">
        <f t="shared" si="97"/>
        <v>0</v>
      </c>
      <c r="I207" s="68">
        <f t="shared" si="97"/>
        <v>0</v>
      </c>
      <c r="J207" s="68">
        <f t="shared" si="97"/>
        <v>0</v>
      </c>
      <c r="K207" s="68">
        <f t="shared" si="97"/>
        <v>0</v>
      </c>
      <c r="L207" s="68">
        <f t="shared" si="97"/>
        <v>0</v>
      </c>
      <c r="M207" s="68">
        <f t="shared" si="97"/>
        <v>0</v>
      </c>
      <c r="N207" s="68">
        <f t="shared" si="97"/>
        <v>-3004.9</v>
      </c>
      <c r="O207" s="68">
        <f t="shared" si="97"/>
        <v>0</v>
      </c>
      <c r="P207" s="68">
        <f>P208+P211+P214+P217+P220</f>
        <v>0</v>
      </c>
      <c r="Q207" s="68">
        <f>Q208+Q211+Q214+Q217+Q220</f>
        <v>0</v>
      </c>
      <c r="R207" s="68">
        <f t="shared" si="97"/>
        <v>0</v>
      </c>
    </row>
    <row r="208" spans="1:18" s="21" customFormat="1" ht="76.5" hidden="1">
      <c r="A208" s="66" t="s">
        <v>341</v>
      </c>
      <c r="B208" s="41"/>
      <c r="C208" s="83" t="s">
        <v>343</v>
      </c>
      <c r="D208" s="68">
        <f>D209</f>
        <v>0</v>
      </c>
      <c r="E208" s="68">
        <f aca="true" t="shared" si="98" ref="E208:R209">E209</f>
        <v>0</v>
      </c>
      <c r="F208" s="68">
        <f t="shared" si="98"/>
        <v>0</v>
      </c>
      <c r="G208" s="68">
        <f t="shared" si="98"/>
        <v>0</v>
      </c>
      <c r="H208" s="68">
        <f t="shared" si="98"/>
        <v>0</v>
      </c>
      <c r="I208" s="68">
        <f t="shared" si="98"/>
        <v>0</v>
      </c>
      <c r="J208" s="68">
        <f t="shared" si="98"/>
        <v>0</v>
      </c>
      <c r="K208" s="68">
        <f t="shared" si="98"/>
        <v>0</v>
      </c>
      <c r="L208" s="68">
        <f t="shared" si="98"/>
        <v>0</v>
      </c>
      <c r="M208" s="68">
        <f t="shared" si="98"/>
        <v>0</v>
      </c>
      <c r="N208" s="68">
        <f t="shared" si="98"/>
        <v>0</v>
      </c>
      <c r="O208" s="68">
        <f t="shared" si="98"/>
        <v>0</v>
      </c>
      <c r="P208" s="68">
        <f t="shared" si="98"/>
        <v>0</v>
      </c>
      <c r="Q208" s="68">
        <f t="shared" si="98"/>
        <v>0</v>
      </c>
      <c r="R208" s="68">
        <f t="shared" si="98"/>
        <v>0</v>
      </c>
    </row>
    <row r="209" spans="1:18" s="21" customFormat="1" ht="25.5" hidden="1">
      <c r="A209" s="66" t="s">
        <v>342</v>
      </c>
      <c r="B209" s="41"/>
      <c r="C209" s="83" t="s">
        <v>344</v>
      </c>
      <c r="D209" s="68">
        <f>D210</f>
        <v>0</v>
      </c>
      <c r="E209" s="68">
        <f t="shared" si="98"/>
        <v>0</v>
      </c>
      <c r="F209" s="68">
        <f t="shared" si="98"/>
        <v>0</v>
      </c>
      <c r="G209" s="68">
        <f t="shared" si="98"/>
        <v>0</v>
      </c>
      <c r="H209" s="68">
        <f t="shared" si="98"/>
        <v>0</v>
      </c>
      <c r="I209" s="68">
        <f t="shared" si="98"/>
        <v>0</v>
      </c>
      <c r="J209" s="68">
        <f t="shared" si="98"/>
        <v>0</v>
      </c>
      <c r="K209" s="68">
        <f t="shared" si="98"/>
        <v>0</v>
      </c>
      <c r="L209" s="68">
        <f t="shared" si="98"/>
        <v>0</v>
      </c>
      <c r="M209" s="68">
        <f t="shared" si="98"/>
        <v>0</v>
      </c>
      <c r="N209" s="68">
        <f t="shared" si="98"/>
        <v>0</v>
      </c>
      <c r="O209" s="68">
        <f t="shared" si="98"/>
        <v>0</v>
      </c>
      <c r="P209" s="68">
        <f t="shared" si="98"/>
        <v>0</v>
      </c>
      <c r="Q209" s="68">
        <f t="shared" si="98"/>
        <v>0</v>
      </c>
      <c r="R209" s="68">
        <f t="shared" si="98"/>
        <v>0</v>
      </c>
    </row>
    <row r="210" spans="1:18" s="21" customFormat="1" ht="38.25" hidden="1">
      <c r="A210" s="66"/>
      <c r="B210" s="41" t="s">
        <v>10</v>
      </c>
      <c r="C210" s="109" t="s">
        <v>99</v>
      </c>
      <c r="D210" s="68"/>
      <c r="E210" s="64">
        <f>D210+SUM(F210:R210)</f>
        <v>0</v>
      </c>
      <c r="F210" s="68"/>
      <c r="G210" s="68"/>
      <c r="H210" s="69"/>
      <c r="I210" s="69"/>
      <c r="J210" s="68"/>
      <c r="K210" s="68"/>
      <c r="L210" s="68"/>
      <c r="M210" s="68"/>
      <c r="N210" s="68"/>
      <c r="O210" s="68"/>
      <c r="P210" s="68"/>
      <c r="Q210" s="68"/>
      <c r="R210" s="68"/>
    </row>
    <row r="211" spans="1:18" s="21" customFormat="1" ht="38.25" hidden="1">
      <c r="A211" s="66" t="s">
        <v>345</v>
      </c>
      <c r="B211" s="41"/>
      <c r="C211" s="83" t="s">
        <v>158</v>
      </c>
      <c r="D211" s="68">
        <f>D212</f>
        <v>0</v>
      </c>
      <c r="E211" s="68">
        <f aca="true" t="shared" si="99" ref="E211:R212">E212</f>
        <v>0</v>
      </c>
      <c r="F211" s="68">
        <f t="shared" si="99"/>
        <v>0</v>
      </c>
      <c r="G211" s="68">
        <f t="shared" si="99"/>
        <v>0</v>
      </c>
      <c r="H211" s="68">
        <f t="shared" si="99"/>
        <v>0</v>
      </c>
      <c r="I211" s="68">
        <f t="shared" si="99"/>
        <v>0</v>
      </c>
      <c r="J211" s="68">
        <f t="shared" si="99"/>
        <v>0</v>
      </c>
      <c r="K211" s="68">
        <f t="shared" si="99"/>
        <v>0</v>
      </c>
      <c r="L211" s="68">
        <f t="shared" si="99"/>
        <v>0</v>
      </c>
      <c r="M211" s="68">
        <f t="shared" si="99"/>
        <v>0</v>
      </c>
      <c r="N211" s="68">
        <f t="shared" si="99"/>
        <v>0</v>
      </c>
      <c r="O211" s="68">
        <f t="shared" si="99"/>
        <v>0</v>
      </c>
      <c r="P211" s="68">
        <f t="shared" si="99"/>
        <v>0</v>
      </c>
      <c r="Q211" s="68">
        <f t="shared" si="99"/>
        <v>0</v>
      </c>
      <c r="R211" s="68">
        <f t="shared" si="99"/>
        <v>0</v>
      </c>
    </row>
    <row r="212" spans="1:18" s="21" customFormat="1" ht="25.5" hidden="1">
      <c r="A212" s="66" t="s">
        <v>346</v>
      </c>
      <c r="B212" s="41"/>
      <c r="C212" s="83" t="s">
        <v>344</v>
      </c>
      <c r="D212" s="68">
        <f>D213</f>
        <v>0</v>
      </c>
      <c r="E212" s="68">
        <f t="shared" si="99"/>
        <v>0</v>
      </c>
      <c r="F212" s="68">
        <f t="shared" si="99"/>
        <v>0</v>
      </c>
      <c r="G212" s="68">
        <f t="shared" si="99"/>
        <v>0</v>
      </c>
      <c r="H212" s="68">
        <f t="shared" si="99"/>
        <v>0</v>
      </c>
      <c r="I212" s="68">
        <f t="shared" si="99"/>
        <v>0</v>
      </c>
      <c r="J212" s="68">
        <f t="shared" si="99"/>
        <v>0</v>
      </c>
      <c r="K212" s="68">
        <f t="shared" si="99"/>
        <v>0</v>
      </c>
      <c r="L212" s="68">
        <f t="shared" si="99"/>
        <v>0</v>
      </c>
      <c r="M212" s="68">
        <f t="shared" si="99"/>
        <v>0</v>
      </c>
      <c r="N212" s="68">
        <f t="shared" si="99"/>
        <v>0</v>
      </c>
      <c r="O212" s="68">
        <f t="shared" si="99"/>
        <v>0</v>
      </c>
      <c r="P212" s="68">
        <f t="shared" si="99"/>
        <v>0</v>
      </c>
      <c r="Q212" s="68">
        <f t="shared" si="99"/>
        <v>0</v>
      </c>
      <c r="R212" s="68">
        <f t="shared" si="99"/>
        <v>0</v>
      </c>
    </row>
    <row r="213" spans="1:18" s="21" customFormat="1" ht="42" customHeight="1" hidden="1">
      <c r="A213" s="66"/>
      <c r="B213" s="41" t="s">
        <v>10</v>
      </c>
      <c r="C213" s="75" t="s">
        <v>99</v>
      </c>
      <c r="D213" s="68"/>
      <c r="E213" s="64">
        <f>D213+SUM(F213:R213)</f>
        <v>0</v>
      </c>
      <c r="F213" s="68"/>
      <c r="G213" s="68"/>
      <c r="H213" s="69"/>
      <c r="I213" s="69"/>
      <c r="J213" s="68"/>
      <c r="K213" s="68"/>
      <c r="L213" s="68"/>
      <c r="M213" s="70"/>
      <c r="N213" s="68"/>
      <c r="O213" s="68"/>
      <c r="P213" s="68"/>
      <c r="Q213" s="68"/>
      <c r="R213" s="68"/>
    </row>
    <row r="214" spans="1:18" s="21" customFormat="1" ht="38.25" hidden="1">
      <c r="A214" s="66" t="s">
        <v>347</v>
      </c>
      <c r="B214" s="41"/>
      <c r="C214" s="83" t="s">
        <v>349</v>
      </c>
      <c r="D214" s="68">
        <f>D215</f>
        <v>1700</v>
      </c>
      <c r="E214" s="68">
        <f aca="true" t="shared" si="100" ref="E214:R215">E215</f>
        <v>195.0999999999999</v>
      </c>
      <c r="F214" s="68">
        <f t="shared" si="100"/>
        <v>0</v>
      </c>
      <c r="G214" s="68">
        <f t="shared" si="100"/>
        <v>0</v>
      </c>
      <c r="H214" s="68">
        <f t="shared" si="100"/>
        <v>0</v>
      </c>
      <c r="I214" s="68">
        <f t="shared" si="100"/>
        <v>0</v>
      </c>
      <c r="J214" s="68">
        <f t="shared" si="100"/>
        <v>0</v>
      </c>
      <c r="K214" s="68">
        <f t="shared" si="100"/>
        <v>0</v>
      </c>
      <c r="L214" s="68">
        <f t="shared" si="100"/>
        <v>0</v>
      </c>
      <c r="M214" s="68">
        <f t="shared" si="100"/>
        <v>0</v>
      </c>
      <c r="N214" s="68">
        <f t="shared" si="100"/>
        <v>-1504.9</v>
      </c>
      <c r="O214" s="68">
        <f t="shared" si="100"/>
        <v>0</v>
      </c>
      <c r="P214" s="68">
        <f t="shared" si="100"/>
        <v>0</v>
      </c>
      <c r="Q214" s="68">
        <f t="shared" si="100"/>
        <v>0</v>
      </c>
      <c r="R214" s="68">
        <f t="shared" si="100"/>
        <v>0</v>
      </c>
    </row>
    <row r="215" spans="1:18" s="21" customFormat="1" ht="25.5" hidden="1">
      <c r="A215" s="66" t="s">
        <v>348</v>
      </c>
      <c r="B215" s="41"/>
      <c r="C215" s="83" t="s">
        <v>344</v>
      </c>
      <c r="D215" s="68">
        <f>D216</f>
        <v>1700</v>
      </c>
      <c r="E215" s="68">
        <f t="shared" si="100"/>
        <v>195.0999999999999</v>
      </c>
      <c r="F215" s="68">
        <f t="shared" si="100"/>
        <v>0</v>
      </c>
      <c r="G215" s="68">
        <f t="shared" si="100"/>
        <v>0</v>
      </c>
      <c r="H215" s="68">
        <f t="shared" si="100"/>
        <v>0</v>
      </c>
      <c r="I215" s="68">
        <f t="shared" si="100"/>
        <v>0</v>
      </c>
      <c r="J215" s="68">
        <f t="shared" si="100"/>
        <v>0</v>
      </c>
      <c r="K215" s="68">
        <f t="shared" si="100"/>
        <v>0</v>
      </c>
      <c r="L215" s="68">
        <f t="shared" si="100"/>
        <v>0</v>
      </c>
      <c r="M215" s="68">
        <f t="shared" si="100"/>
        <v>0</v>
      </c>
      <c r="N215" s="68">
        <f t="shared" si="100"/>
        <v>-1504.9</v>
      </c>
      <c r="O215" s="68">
        <f t="shared" si="100"/>
        <v>0</v>
      </c>
      <c r="P215" s="68">
        <f t="shared" si="100"/>
        <v>0</v>
      </c>
      <c r="Q215" s="68">
        <f t="shared" si="100"/>
        <v>0</v>
      </c>
      <c r="R215" s="68">
        <f t="shared" si="100"/>
        <v>0</v>
      </c>
    </row>
    <row r="216" spans="1:18" s="21" customFormat="1" ht="38.25" hidden="1">
      <c r="A216" s="66"/>
      <c r="B216" s="41" t="s">
        <v>10</v>
      </c>
      <c r="C216" s="75" t="s">
        <v>99</v>
      </c>
      <c r="D216" s="68">
        <f>1700</f>
        <v>1700</v>
      </c>
      <c r="E216" s="64">
        <f>D216+SUM(F216:R216)</f>
        <v>195.0999999999999</v>
      </c>
      <c r="F216" s="68"/>
      <c r="G216" s="68"/>
      <c r="H216" s="69"/>
      <c r="I216" s="69"/>
      <c r="J216" s="68"/>
      <c r="K216" s="68"/>
      <c r="L216" s="68"/>
      <c r="M216" s="70"/>
      <c r="N216" s="68">
        <f>-1504.9</f>
        <v>-1504.9</v>
      </c>
      <c r="O216" s="68"/>
      <c r="P216" s="68"/>
      <c r="Q216" s="68"/>
      <c r="R216" s="68"/>
    </row>
    <row r="217" spans="1:18" s="21" customFormat="1" ht="51" hidden="1">
      <c r="A217" s="66" t="s">
        <v>350</v>
      </c>
      <c r="B217" s="41"/>
      <c r="C217" s="75" t="s">
        <v>352</v>
      </c>
      <c r="D217" s="68">
        <f>D218</f>
        <v>0</v>
      </c>
      <c r="E217" s="68">
        <f aca="true" t="shared" si="101" ref="E217:R218">E218</f>
        <v>0</v>
      </c>
      <c r="F217" s="68">
        <f t="shared" si="101"/>
        <v>0</v>
      </c>
      <c r="G217" s="68">
        <f t="shared" si="101"/>
        <v>0</v>
      </c>
      <c r="H217" s="68">
        <f t="shared" si="101"/>
        <v>0</v>
      </c>
      <c r="I217" s="68">
        <f t="shared" si="101"/>
        <v>0</v>
      </c>
      <c r="J217" s="68">
        <f t="shared" si="101"/>
        <v>0</v>
      </c>
      <c r="K217" s="68">
        <f t="shared" si="101"/>
        <v>0</v>
      </c>
      <c r="L217" s="68">
        <f t="shared" si="101"/>
        <v>0</v>
      </c>
      <c r="M217" s="68">
        <f t="shared" si="101"/>
        <v>0</v>
      </c>
      <c r="N217" s="68">
        <f t="shared" si="101"/>
        <v>0</v>
      </c>
      <c r="O217" s="68">
        <f t="shared" si="101"/>
        <v>0</v>
      </c>
      <c r="P217" s="68">
        <f t="shared" si="101"/>
        <v>0</v>
      </c>
      <c r="Q217" s="68">
        <f t="shared" si="101"/>
        <v>0</v>
      </c>
      <c r="R217" s="68">
        <f t="shared" si="101"/>
        <v>0</v>
      </c>
    </row>
    <row r="218" spans="1:18" s="21" customFormat="1" ht="25.5" hidden="1">
      <c r="A218" s="66" t="s">
        <v>351</v>
      </c>
      <c r="B218" s="41"/>
      <c r="C218" s="75" t="s">
        <v>344</v>
      </c>
      <c r="D218" s="68">
        <f>D219</f>
        <v>0</v>
      </c>
      <c r="E218" s="68">
        <f t="shared" si="101"/>
        <v>0</v>
      </c>
      <c r="F218" s="68">
        <f t="shared" si="101"/>
        <v>0</v>
      </c>
      <c r="G218" s="68">
        <f t="shared" si="101"/>
        <v>0</v>
      </c>
      <c r="H218" s="68">
        <f t="shared" si="101"/>
        <v>0</v>
      </c>
      <c r="I218" s="68">
        <f t="shared" si="101"/>
        <v>0</v>
      </c>
      <c r="J218" s="68">
        <f t="shared" si="101"/>
        <v>0</v>
      </c>
      <c r="K218" s="68">
        <f t="shared" si="101"/>
        <v>0</v>
      </c>
      <c r="L218" s="68">
        <f t="shared" si="101"/>
        <v>0</v>
      </c>
      <c r="M218" s="68">
        <f t="shared" si="101"/>
        <v>0</v>
      </c>
      <c r="N218" s="68">
        <f t="shared" si="101"/>
        <v>0</v>
      </c>
      <c r="O218" s="68">
        <f t="shared" si="101"/>
        <v>0</v>
      </c>
      <c r="P218" s="68">
        <f t="shared" si="101"/>
        <v>0</v>
      </c>
      <c r="Q218" s="68">
        <f t="shared" si="101"/>
        <v>0</v>
      </c>
      <c r="R218" s="68">
        <f t="shared" si="101"/>
        <v>0</v>
      </c>
    </row>
    <row r="219" spans="1:18" s="21" customFormat="1" ht="38.25" hidden="1">
      <c r="A219" s="66"/>
      <c r="B219" s="41" t="s">
        <v>10</v>
      </c>
      <c r="C219" s="75" t="s">
        <v>99</v>
      </c>
      <c r="D219" s="68"/>
      <c r="E219" s="64">
        <f>D219+SUM(F219:R219)</f>
        <v>0</v>
      </c>
      <c r="F219" s="68"/>
      <c r="G219" s="68"/>
      <c r="H219" s="69"/>
      <c r="I219" s="69"/>
      <c r="J219" s="68"/>
      <c r="K219" s="68"/>
      <c r="L219" s="68"/>
      <c r="M219" s="70"/>
      <c r="N219" s="68"/>
      <c r="O219" s="68"/>
      <c r="P219" s="68"/>
      <c r="Q219" s="68"/>
      <c r="R219" s="68"/>
    </row>
    <row r="220" spans="1:18" s="21" customFormat="1" ht="38.25" hidden="1">
      <c r="A220" s="66" t="s">
        <v>505</v>
      </c>
      <c r="B220" s="41"/>
      <c r="C220" s="75" t="s">
        <v>507</v>
      </c>
      <c r="D220" s="68">
        <f>D221</f>
        <v>1500</v>
      </c>
      <c r="E220" s="68">
        <f aca="true" t="shared" si="102" ref="E220:R221">E221</f>
        <v>0</v>
      </c>
      <c r="F220" s="68">
        <f t="shared" si="102"/>
        <v>0</v>
      </c>
      <c r="G220" s="68">
        <f t="shared" si="102"/>
        <v>0</v>
      </c>
      <c r="H220" s="68">
        <f t="shared" si="102"/>
        <v>0</v>
      </c>
      <c r="I220" s="68">
        <f t="shared" si="102"/>
        <v>0</v>
      </c>
      <c r="J220" s="68">
        <f t="shared" si="102"/>
        <v>0</v>
      </c>
      <c r="K220" s="68">
        <f t="shared" si="102"/>
        <v>0</v>
      </c>
      <c r="L220" s="68">
        <f t="shared" si="102"/>
        <v>0</v>
      </c>
      <c r="M220" s="68">
        <f t="shared" si="102"/>
        <v>0</v>
      </c>
      <c r="N220" s="68">
        <f t="shared" si="102"/>
        <v>-1500</v>
      </c>
      <c r="O220" s="68">
        <f t="shared" si="102"/>
        <v>0</v>
      </c>
      <c r="P220" s="68">
        <f t="shared" si="102"/>
        <v>0</v>
      </c>
      <c r="Q220" s="68">
        <f t="shared" si="102"/>
        <v>0</v>
      </c>
      <c r="R220" s="68">
        <f t="shared" si="102"/>
        <v>0</v>
      </c>
    </row>
    <row r="221" spans="1:18" s="21" customFormat="1" ht="25.5" hidden="1">
      <c r="A221" s="66" t="s">
        <v>506</v>
      </c>
      <c r="B221" s="41"/>
      <c r="C221" s="75" t="s">
        <v>508</v>
      </c>
      <c r="D221" s="68">
        <f>D222</f>
        <v>1500</v>
      </c>
      <c r="E221" s="68">
        <f t="shared" si="102"/>
        <v>0</v>
      </c>
      <c r="F221" s="68">
        <f t="shared" si="102"/>
        <v>0</v>
      </c>
      <c r="G221" s="68">
        <f t="shared" si="102"/>
        <v>0</v>
      </c>
      <c r="H221" s="68">
        <f t="shared" si="102"/>
        <v>0</v>
      </c>
      <c r="I221" s="68">
        <f t="shared" si="102"/>
        <v>0</v>
      </c>
      <c r="J221" s="68">
        <f t="shared" si="102"/>
        <v>0</v>
      </c>
      <c r="K221" s="68">
        <f t="shared" si="102"/>
        <v>0</v>
      </c>
      <c r="L221" s="68">
        <f t="shared" si="102"/>
        <v>0</v>
      </c>
      <c r="M221" s="68">
        <f t="shared" si="102"/>
        <v>0</v>
      </c>
      <c r="N221" s="68">
        <f t="shared" si="102"/>
        <v>-1500</v>
      </c>
      <c r="O221" s="68">
        <f t="shared" si="102"/>
        <v>0</v>
      </c>
      <c r="P221" s="68">
        <f t="shared" si="102"/>
        <v>0</v>
      </c>
      <c r="Q221" s="68">
        <f t="shared" si="102"/>
        <v>0</v>
      </c>
      <c r="R221" s="68">
        <f t="shared" si="102"/>
        <v>0</v>
      </c>
    </row>
    <row r="222" spans="1:18" s="21" customFormat="1" ht="38.25" hidden="1">
      <c r="A222" s="66"/>
      <c r="B222" s="41" t="s">
        <v>10</v>
      </c>
      <c r="C222" s="75" t="s">
        <v>99</v>
      </c>
      <c r="D222" s="68">
        <f>1500</f>
        <v>1500</v>
      </c>
      <c r="E222" s="64">
        <f>D222+SUM(F222:R222)</f>
        <v>0</v>
      </c>
      <c r="F222" s="68"/>
      <c r="G222" s="68"/>
      <c r="H222" s="69"/>
      <c r="I222" s="69"/>
      <c r="J222" s="68"/>
      <c r="K222" s="68"/>
      <c r="L222" s="68"/>
      <c r="M222" s="70"/>
      <c r="N222" s="68">
        <f>-1500</f>
        <v>-1500</v>
      </c>
      <c r="O222" s="68"/>
      <c r="P222" s="68"/>
      <c r="Q222" s="68"/>
      <c r="R222" s="68"/>
    </row>
    <row r="223" spans="1:18" s="21" customFormat="1" ht="45" customHeight="1" hidden="1">
      <c r="A223" s="82" t="s">
        <v>353</v>
      </c>
      <c r="B223" s="41"/>
      <c r="C223" s="85" t="s">
        <v>135</v>
      </c>
      <c r="D223" s="68">
        <f>D224+D233+D236+D239+D242+D245</f>
        <v>1591.6</v>
      </c>
      <c r="E223" s="68">
        <f aca="true" t="shared" si="103" ref="E223:J223">E224+E233+E236+E239+E242+E245</f>
        <v>0</v>
      </c>
      <c r="F223" s="68">
        <f t="shared" si="103"/>
        <v>0</v>
      </c>
      <c r="G223" s="68">
        <f t="shared" si="103"/>
        <v>0</v>
      </c>
      <c r="H223" s="68">
        <f t="shared" si="103"/>
        <v>0</v>
      </c>
      <c r="I223" s="68">
        <f t="shared" si="103"/>
        <v>0</v>
      </c>
      <c r="J223" s="68">
        <f t="shared" si="103"/>
        <v>0</v>
      </c>
      <c r="K223" s="68">
        <f aca="true" t="shared" si="104" ref="K223:R223">K224+K233+K236+K239+K242</f>
        <v>0</v>
      </c>
      <c r="L223" s="68">
        <f t="shared" si="104"/>
        <v>0</v>
      </c>
      <c r="M223" s="68">
        <f t="shared" si="104"/>
        <v>0</v>
      </c>
      <c r="N223" s="68">
        <f t="shared" si="104"/>
        <v>-1591.6</v>
      </c>
      <c r="O223" s="68">
        <f t="shared" si="104"/>
        <v>0</v>
      </c>
      <c r="P223" s="68">
        <f>P224+P233+P236+P239+P242</f>
        <v>0</v>
      </c>
      <c r="Q223" s="68">
        <f>Q224+Q233+Q236+Q239+Q242</f>
        <v>0</v>
      </c>
      <c r="R223" s="68">
        <f t="shared" si="104"/>
        <v>0</v>
      </c>
    </row>
    <row r="224" spans="1:18" s="21" customFormat="1" ht="54" customHeight="1" hidden="1">
      <c r="A224" s="66" t="s">
        <v>354</v>
      </c>
      <c r="B224" s="41"/>
      <c r="C224" s="83" t="s">
        <v>356</v>
      </c>
      <c r="D224" s="68">
        <f>D231+D229+D225+D227</f>
        <v>1591.6</v>
      </c>
      <c r="E224" s="68">
        <f aca="true" t="shared" si="105" ref="E224:R224">E231+E229+E225+E227</f>
        <v>0</v>
      </c>
      <c r="F224" s="68">
        <f t="shared" si="105"/>
        <v>0</v>
      </c>
      <c r="G224" s="68">
        <f t="shared" si="105"/>
        <v>0</v>
      </c>
      <c r="H224" s="68">
        <f t="shared" si="105"/>
        <v>0</v>
      </c>
      <c r="I224" s="68">
        <f t="shared" si="105"/>
        <v>0</v>
      </c>
      <c r="J224" s="68">
        <f t="shared" si="105"/>
        <v>0</v>
      </c>
      <c r="K224" s="68">
        <f t="shared" si="105"/>
        <v>0</v>
      </c>
      <c r="L224" s="68">
        <f t="shared" si="105"/>
        <v>0</v>
      </c>
      <c r="M224" s="68">
        <f t="shared" si="105"/>
        <v>0</v>
      </c>
      <c r="N224" s="68">
        <f t="shared" si="105"/>
        <v>-1591.6</v>
      </c>
      <c r="O224" s="68">
        <f t="shared" si="105"/>
        <v>0</v>
      </c>
      <c r="P224" s="68">
        <f>P231+P229+P225+P227</f>
        <v>0</v>
      </c>
      <c r="Q224" s="68">
        <f>Q231+Q229+Q225+Q227</f>
        <v>0</v>
      </c>
      <c r="R224" s="68">
        <f t="shared" si="105"/>
        <v>0</v>
      </c>
    </row>
    <row r="225" spans="1:18" s="21" customFormat="1" ht="54" customHeight="1" hidden="1">
      <c r="A225" s="66" t="s">
        <v>468</v>
      </c>
      <c r="B225" s="41"/>
      <c r="C225" s="83" t="s">
        <v>159</v>
      </c>
      <c r="D225" s="68">
        <f>D226</f>
        <v>0</v>
      </c>
      <c r="E225" s="68">
        <f aca="true" t="shared" si="106" ref="E225:R225">E226</f>
        <v>0</v>
      </c>
      <c r="F225" s="68">
        <f t="shared" si="106"/>
        <v>0</v>
      </c>
      <c r="G225" s="68">
        <f t="shared" si="106"/>
        <v>0</v>
      </c>
      <c r="H225" s="68">
        <f t="shared" si="106"/>
        <v>0</v>
      </c>
      <c r="I225" s="68">
        <f t="shared" si="106"/>
        <v>0</v>
      </c>
      <c r="J225" s="68">
        <f t="shared" si="106"/>
        <v>0</v>
      </c>
      <c r="K225" s="68">
        <f t="shared" si="106"/>
        <v>0</v>
      </c>
      <c r="L225" s="68">
        <f t="shared" si="106"/>
        <v>0</v>
      </c>
      <c r="M225" s="68">
        <f t="shared" si="106"/>
        <v>0</v>
      </c>
      <c r="N225" s="68">
        <f t="shared" si="106"/>
        <v>0</v>
      </c>
      <c r="O225" s="68">
        <f t="shared" si="106"/>
        <v>0</v>
      </c>
      <c r="P225" s="68">
        <f t="shared" si="106"/>
        <v>0</v>
      </c>
      <c r="Q225" s="68">
        <f t="shared" si="106"/>
        <v>0</v>
      </c>
      <c r="R225" s="68">
        <f t="shared" si="106"/>
        <v>0</v>
      </c>
    </row>
    <row r="226" spans="1:18" s="21" customFormat="1" ht="45.75" customHeight="1" hidden="1">
      <c r="A226" s="66"/>
      <c r="B226" s="41" t="s">
        <v>10</v>
      </c>
      <c r="C226" s="75" t="s">
        <v>99</v>
      </c>
      <c r="D226" s="68"/>
      <c r="E226" s="64">
        <f>D226+SUM(F226:R226)</f>
        <v>0</v>
      </c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</row>
    <row r="227" spans="1:18" s="21" customFormat="1" ht="57" customHeight="1" hidden="1">
      <c r="A227" s="66" t="s">
        <v>468</v>
      </c>
      <c r="B227" s="41"/>
      <c r="C227" s="75" t="s">
        <v>478</v>
      </c>
      <c r="D227" s="68">
        <f>D228</f>
        <v>0</v>
      </c>
      <c r="E227" s="68">
        <f aca="true" t="shared" si="107" ref="E227:Q227">E228</f>
        <v>0</v>
      </c>
      <c r="F227" s="68">
        <f t="shared" si="107"/>
        <v>0</v>
      </c>
      <c r="G227" s="68">
        <f t="shared" si="107"/>
        <v>0</v>
      </c>
      <c r="H227" s="68">
        <f t="shared" si="107"/>
        <v>0</v>
      </c>
      <c r="I227" s="68">
        <f t="shared" si="107"/>
        <v>0</v>
      </c>
      <c r="J227" s="68">
        <f t="shared" si="107"/>
        <v>0</v>
      </c>
      <c r="K227" s="68">
        <f t="shared" si="107"/>
        <v>0</v>
      </c>
      <c r="L227" s="68">
        <f t="shared" si="107"/>
        <v>0</v>
      </c>
      <c r="M227" s="68">
        <f t="shared" si="107"/>
        <v>0</v>
      </c>
      <c r="N227" s="68">
        <f t="shared" si="107"/>
        <v>0</v>
      </c>
      <c r="O227" s="68">
        <f t="shared" si="107"/>
        <v>0</v>
      </c>
      <c r="P227" s="68">
        <f t="shared" si="107"/>
        <v>0</v>
      </c>
      <c r="Q227" s="68">
        <f t="shared" si="107"/>
        <v>0</v>
      </c>
      <c r="R227" s="68">
        <f>R228</f>
        <v>0</v>
      </c>
    </row>
    <row r="228" spans="1:18" s="21" customFormat="1" ht="45.75" customHeight="1" hidden="1">
      <c r="A228" s="66"/>
      <c r="B228" s="41" t="s">
        <v>10</v>
      </c>
      <c r="C228" s="75" t="s">
        <v>99</v>
      </c>
      <c r="D228" s="68"/>
      <c r="E228" s="64">
        <f>D228+SUM(F228:R228)</f>
        <v>0</v>
      </c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</row>
    <row r="229" spans="1:18" s="21" customFormat="1" ht="63" customHeight="1" hidden="1">
      <c r="A229" s="66" t="s">
        <v>456</v>
      </c>
      <c r="B229" s="41"/>
      <c r="C229" s="83" t="s">
        <v>159</v>
      </c>
      <c r="D229" s="68">
        <f>D230</f>
        <v>0</v>
      </c>
      <c r="E229" s="68">
        <f aca="true" t="shared" si="108" ref="E229:R229">E230</f>
        <v>0</v>
      </c>
      <c r="F229" s="68">
        <f t="shared" si="108"/>
        <v>0</v>
      </c>
      <c r="G229" s="68">
        <f t="shared" si="108"/>
        <v>0</v>
      </c>
      <c r="H229" s="68">
        <f t="shared" si="108"/>
        <v>0</v>
      </c>
      <c r="I229" s="68">
        <f t="shared" si="108"/>
        <v>0</v>
      </c>
      <c r="J229" s="68">
        <f t="shared" si="108"/>
        <v>0</v>
      </c>
      <c r="K229" s="68">
        <f t="shared" si="108"/>
        <v>0</v>
      </c>
      <c r="L229" s="68">
        <f t="shared" si="108"/>
        <v>0</v>
      </c>
      <c r="M229" s="68">
        <f t="shared" si="108"/>
        <v>0</v>
      </c>
      <c r="N229" s="68">
        <f t="shared" si="108"/>
        <v>0</v>
      </c>
      <c r="O229" s="68">
        <f t="shared" si="108"/>
        <v>0</v>
      </c>
      <c r="P229" s="68">
        <f t="shared" si="108"/>
        <v>0</v>
      </c>
      <c r="Q229" s="68">
        <f t="shared" si="108"/>
        <v>0</v>
      </c>
      <c r="R229" s="68">
        <f t="shared" si="108"/>
        <v>0</v>
      </c>
    </row>
    <row r="230" spans="1:18" s="21" customFormat="1" ht="54" customHeight="1" hidden="1">
      <c r="A230" s="66"/>
      <c r="B230" s="41" t="s">
        <v>10</v>
      </c>
      <c r="C230" s="75" t="s">
        <v>99</v>
      </c>
      <c r="D230" s="68"/>
      <c r="E230" s="64">
        <f>D230+SUM(F230:R230)</f>
        <v>0</v>
      </c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</row>
    <row r="231" spans="1:18" s="21" customFormat="1" ht="54" customHeight="1" hidden="1">
      <c r="A231" s="66" t="s">
        <v>355</v>
      </c>
      <c r="B231" s="41"/>
      <c r="C231" s="83" t="s">
        <v>435</v>
      </c>
      <c r="D231" s="68">
        <f>D232</f>
        <v>1591.6</v>
      </c>
      <c r="E231" s="68">
        <f aca="true" t="shared" si="109" ref="E231:R231">E232</f>
        <v>0</v>
      </c>
      <c r="F231" s="68">
        <f t="shared" si="109"/>
        <v>0</v>
      </c>
      <c r="G231" s="68">
        <f t="shared" si="109"/>
        <v>0</v>
      </c>
      <c r="H231" s="68">
        <f t="shared" si="109"/>
        <v>0</v>
      </c>
      <c r="I231" s="68">
        <f t="shared" si="109"/>
        <v>0</v>
      </c>
      <c r="J231" s="68">
        <f t="shared" si="109"/>
        <v>0</v>
      </c>
      <c r="K231" s="68">
        <f t="shared" si="109"/>
        <v>0</v>
      </c>
      <c r="L231" s="68">
        <f t="shared" si="109"/>
        <v>0</v>
      </c>
      <c r="M231" s="68">
        <f t="shared" si="109"/>
        <v>0</v>
      </c>
      <c r="N231" s="68">
        <f t="shared" si="109"/>
        <v>-1591.6</v>
      </c>
      <c r="O231" s="68">
        <f t="shared" si="109"/>
        <v>0</v>
      </c>
      <c r="P231" s="68">
        <f t="shared" si="109"/>
        <v>0</v>
      </c>
      <c r="Q231" s="68">
        <f t="shared" si="109"/>
        <v>0</v>
      </c>
      <c r="R231" s="68">
        <f t="shared" si="109"/>
        <v>0</v>
      </c>
    </row>
    <row r="232" spans="1:18" s="21" customFormat="1" ht="44.25" customHeight="1" hidden="1">
      <c r="A232" s="66"/>
      <c r="B232" s="41" t="s">
        <v>10</v>
      </c>
      <c r="C232" s="75" t="s">
        <v>99</v>
      </c>
      <c r="D232" s="68">
        <f>1591.6</f>
        <v>1591.6</v>
      </c>
      <c r="E232" s="64">
        <f>D232+SUM(F232:R232)</f>
        <v>0</v>
      </c>
      <c r="F232" s="68"/>
      <c r="G232" s="68"/>
      <c r="H232" s="69"/>
      <c r="I232" s="69"/>
      <c r="J232" s="68"/>
      <c r="K232" s="68"/>
      <c r="L232" s="68"/>
      <c r="M232" s="68"/>
      <c r="N232" s="68">
        <v>-1591.6</v>
      </c>
      <c r="O232" s="68"/>
      <c r="P232" s="68"/>
      <c r="Q232" s="68"/>
      <c r="R232" s="68"/>
    </row>
    <row r="233" spans="1:18" s="21" customFormat="1" ht="27" customHeight="1" hidden="1">
      <c r="A233" s="66" t="s">
        <v>357</v>
      </c>
      <c r="B233" s="41"/>
      <c r="C233" s="83" t="s">
        <v>359</v>
      </c>
      <c r="D233" s="68">
        <f>D234</f>
        <v>0</v>
      </c>
      <c r="E233" s="68">
        <f aca="true" t="shared" si="110" ref="E233:R234">E234</f>
        <v>0</v>
      </c>
      <c r="F233" s="68">
        <f t="shared" si="110"/>
        <v>0</v>
      </c>
      <c r="G233" s="68">
        <f t="shared" si="110"/>
        <v>0</v>
      </c>
      <c r="H233" s="68">
        <f t="shared" si="110"/>
        <v>0</v>
      </c>
      <c r="I233" s="68">
        <f t="shared" si="110"/>
        <v>0</v>
      </c>
      <c r="J233" s="68">
        <f t="shared" si="110"/>
        <v>0</v>
      </c>
      <c r="K233" s="68">
        <f t="shared" si="110"/>
        <v>0</v>
      </c>
      <c r="L233" s="68">
        <f t="shared" si="110"/>
        <v>0</v>
      </c>
      <c r="M233" s="68">
        <f t="shared" si="110"/>
        <v>0</v>
      </c>
      <c r="N233" s="68">
        <f t="shared" si="110"/>
        <v>0</v>
      </c>
      <c r="O233" s="68">
        <f t="shared" si="110"/>
        <v>0</v>
      </c>
      <c r="P233" s="68">
        <f t="shared" si="110"/>
        <v>0</v>
      </c>
      <c r="Q233" s="68">
        <f t="shared" si="110"/>
        <v>0</v>
      </c>
      <c r="R233" s="68">
        <f t="shared" si="110"/>
        <v>0</v>
      </c>
    </row>
    <row r="234" spans="1:18" s="21" customFormat="1" ht="42.75" customHeight="1" hidden="1">
      <c r="A234" s="66" t="s">
        <v>358</v>
      </c>
      <c r="B234" s="41"/>
      <c r="C234" s="83" t="s">
        <v>360</v>
      </c>
      <c r="D234" s="68">
        <f>D235</f>
        <v>0</v>
      </c>
      <c r="E234" s="68">
        <f t="shared" si="110"/>
        <v>0</v>
      </c>
      <c r="F234" s="68">
        <f t="shared" si="110"/>
        <v>0</v>
      </c>
      <c r="G234" s="68">
        <f t="shared" si="110"/>
        <v>0</v>
      </c>
      <c r="H234" s="68">
        <f t="shared" si="110"/>
        <v>0</v>
      </c>
      <c r="I234" s="68">
        <f t="shared" si="110"/>
        <v>0</v>
      </c>
      <c r="J234" s="68">
        <f t="shared" si="110"/>
        <v>0</v>
      </c>
      <c r="K234" s="68">
        <f t="shared" si="110"/>
        <v>0</v>
      </c>
      <c r="L234" s="68">
        <f t="shared" si="110"/>
        <v>0</v>
      </c>
      <c r="M234" s="68">
        <f t="shared" si="110"/>
        <v>0</v>
      </c>
      <c r="N234" s="68">
        <f t="shared" si="110"/>
        <v>0</v>
      </c>
      <c r="O234" s="68">
        <f t="shared" si="110"/>
        <v>0</v>
      </c>
      <c r="P234" s="68">
        <f t="shared" si="110"/>
        <v>0</v>
      </c>
      <c r="Q234" s="68">
        <f t="shared" si="110"/>
        <v>0</v>
      </c>
      <c r="R234" s="68">
        <f t="shared" si="110"/>
        <v>0</v>
      </c>
    </row>
    <row r="235" spans="1:18" s="21" customFormat="1" ht="38.25" hidden="1">
      <c r="A235" s="66"/>
      <c r="B235" s="41" t="s">
        <v>10</v>
      </c>
      <c r="C235" s="75" t="s">
        <v>99</v>
      </c>
      <c r="D235" s="68"/>
      <c r="E235" s="64">
        <f>D235+SUM(F235:R235)</f>
        <v>0</v>
      </c>
      <c r="F235" s="68"/>
      <c r="G235" s="68"/>
      <c r="H235" s="69"/>
      <c r="I235" s="69"/>
      <c r="J235" s="68"/>
      <c r="K235" s="68"/>
      <c r="L235" s="68"/>
      <c r="M235" s="70"/>
      <c r="N235" s="68"/>
      <c r="O235" s="68"/>
      <c r="P235" s="68"/>
      <c r="Q235" s="68"/>
      <c r="R235" s="68"/>
    </row>
    <row r="236" spans="1:18" s="108" customFormat="1" ht="51" hidden="1">
      <c r="A236" s="106" t="s">
        <v>361</v>
      </c>
      <c r="B236" s="107"/>
      <c r="C236" s="105" t="s">
        <v>363</v>
      </c>
      <c r="D236" s="79">
        <f>D237</f>
        <v>0</v>
      </c>
      <c r="E236" s="79">
        <f aca="true" t="shared" si="111" ref="E236:R237">E237</f>
        <v>0</v>
      </c>
      <c r="F236" s="79">
        <f t="shared" si="111"/>
        <v>0</v>
      </c>
      <c r="G236" s="79">
        <f t="shared" si="111"/>
        <v>0</v>
      </c>
      <c r="H236" s="79">
        <f t="shared" si="111"/>
        <v>0</v>
      </c>
      <c r="I236" s="79">
        <f t="shared" si="111"/>
        <v>0</v>
      </c>
      <c r="J236" s="79">
        <f t="shared" si="111"/>
        <v>0</v>
      </c>
      <c r="K236" s="79">
        <f t="shared" si="111"/>
        <v>0</v>
      </c>
      <c r="L236" s="79">
        <f t="shared" si="111"/>
        <v>0</v>
      </c>
      <c r="M236" s="79">
        <f t="shared" si="111"/>
        <v>0</v>
      </c>
      <c r="N236" s="79">
        <f t="shared" si="111"/>
        <v>0</v>
      </c>
      <c r="O236" s="79">
        <f t="shared" si="111"/>
        <v>0</v>
      </c>
      <c r="P236" s="79">
        <f t="shared" si="111"/>
        <v>0</v>
      </c>
      <c r="Q236" s="79">
        <f t="shared" si="111"/>
        <v>0</v>
      </c>
      <c r="R236" s="79">
        <f t="shared" si="111"/>
        <v>0</v>
      </c>
    </row>
    <row r="237" spans="1:18" s="108" customFormat="1" ht="38.25" hidden="1">
      <c r="A237" s="106" t="s">
        <v>362</v>
      </c>
      <c r="B237" s="107"/>
      <c r="C237" s="105" t="s">
        <v>360</v>
      </c>
      <c r="D237" s="79">
        <f>D238</f>
        <v>0</v>
      </c>
      <c r="E237" s="79">
        <f t="shared" si="111"/>
        <v>0</v>
      </c>
      <c r="F237" s="79">
        <f t="shared" si="111"/>
        <v>0</v>
      </c>
      <c r="G237" s="79">
        <f t="shared" si="111"/>
        <v>0</v>
      </c>
      <c r="H237" s="79">
        <f t="shared" si="111"/>
        <v>0</v>
      </c>
      <c r="I237" s="79">
        <f t="shared" si="111"/>
        <v>0</v>
      </c>
      <c r="J237" s="79">
        <f t="shared" si="111"/>
        <v>0</v>
      </c>
      <c r="K237" s="79">
        <f t="shared" si="111"/>
        <v>0</v>
      </c>
      <c r="L237" s="79">
        <f t="shared" si="111"/>
        <v>0</v>
      </c>
      <c r="M237" s="79">
        <f t="shared" si="111"/>
        <v>0</v>
      </c>
      <c r="N237" s="79">
        <f t="shared" si="111"/>
        <v>0</v>
      </c>
      <c r="O237" s="79">
        <f t="shared" si="111"/>
        <v>0</v>
      </c>
      <c r="P237" s="79">
        <f t="shared" si="111"/>
        <v>0</v>
      </c>
      <c r="Q237" s="79">
        <f t="shared" si="111"/>
        <v>0</v>
      </c>
      <c r="R237" s="79">
        <f t="shared" si="111"/>
        <v>0</v>
      </c>
    </row>
    <row r="238" spans="1:18" s="108" customFormat="1" ht="38.25" hidden="1">
      <c r="A238" s="106"/>
      <c r="B238" s="107" t="s">
        <v>10</v>
      </c>
      <c r="C238" s="109" t="s">
        <v>99</v>
      </c>
      <c r="D238" s="79"/>
      <c r="E238" s="93">
        <f>D238+SUM(F238:R238)</f>
        <v>0</v>
      </c>
      <c r="F238" s="79"/>
      <c r="G238" s="79"/>
      <c r="H238" s="92"/>
      <c r="I238" s="92"/>
      <c r="J238" s="79"/>
      <c r="K238" s="79"/>
      <c r="L238" s="79"/>
      <c r="M238" s="96"/>
      <c r="N238" s="79"/>
      <c r="O238" s="79"/>
      <c r="P238" s="79"/>
      <c r="Q238" s="79"/>
      <c r="R238" s="79"/>
    </row>
    <row r="239" spans="1:18" s="21" customFormat="1" ht="38.25" hidden="1">
      <c r="A239" s="66" t="s">
        <v>364</v>
      </c>
      <c r="B239" s="41"/>
      <c r="C239" s="83" t="s">
        <v>365</v>
      </c>
      <c r="D239" s="68">
        <f>D240</f>
        <v>0</v>
      </c>
      <c r="E239" s="68">
        <f aca="true" t="shared" si="112" ref="E239:R240">E240</f>
        <v>0</v>
      </c>
      <c r="F239" s="68">
        <f t="shared" si="112"/>
        <v>0</v>
      </c>
      <c r="G239" s="68">
        <f t="shared" si="112"/>
        <v>0</v>
      </c>
      <c r="H239" s="68">
        <f t="shared" si="112"/>
        <v>0</v>
      </c>
      <c r="I239" s="68">
        <f t="shared" si="112"/>
        <v>0</v>
      </c>
      <c r="J239" s="68">
        <f t="shared" si="112"/>
        <v>0</v>
      </c>
      <c r="K239" s="68">
        <f t="shared" si="112"/>
        <v>0</v>
      </c>
      <c r="L239" s="68">
        <f t="shared" si="112"/>
        <v>0</v>
      </c>
      <c r="M239" s="68">
        <f t="shared" si="112"/>
        <v>0</v>
      </c>
      <c r="N239" s="68">
        <f t="shared" si="112"/>
        <v>0</v>
      </c>
      <c r="O239" s="68">
        <f t="shared" si="112"/>
        <v>0</v>
      </c>
      <c r="P239" s="68">
        <f t="shared" si="112"/>
        <v>0</v>
      </c>
      <c r="Q239" s="68">
        <f t="shared" si="112"/>
        <v>0</v>
      </c>
      <c r="R239" s="68">
        <f t="shared" si="112"/>
        <v>0</v>
      </c>
    </row>
    <row r="240" spans="1:18" s="21" customFormat="1" ht="38.25" hidden="1">
      <c r="A240" s="66" t="s">
        <v>366</v>
      </c>
      <c r="B240" s="41"/>
      <c r="C240" s="83" t="s">
        <v>360</v>
      </c>
      <c r="D240" s="68">
        <f>D241</f>
        <v>0</v>
      </c>
      <c r="E240" s="68">
        <f t="shared" si="112"/>
        <v>0</v>
      </c>
      <c r="F240" s="68">
        <f t="shared" si="112"/>
        <v>0</v>
      </c>
      <c r="G240" s="68">
        <f t="shared" si="112"/>
        <v>0</v>
      </c>
      <c r="H240" s="68">
        <f t="shared" si="112"/>
        <v>0</v>
      </c>
      <c r="I240" s="68">
        <f t="shared" si="112"/>
        <v>0</v>
      </c>
      <c r="J240" s="68">
        <f t="shared" si="112"/>
        <v>0</v>
      </c>
      <c r="K240" s="68">
        <f t="shared" si="112"/>
        <v>0</v>
      </c>
      <c r="L240" s="68">
        <f t="shared" si="112"/>
        <v>0</v>
      </c>
      <c r="M240" s="68">
        <f t="shared" si="112"/>
        <v>0</v>
      </c>
      <c r="N240" s="68">
        <f t="shared" si="112"/>
        <v>0</v>
      </c>
      <c r="O240" s="68">
        <f t="shared" si="112"/>
        <v>0</v>
      </c>
      <c r="P240" s="68">
        <f t="shared" si="112"/>
        <v>0</v>
      </c>
      <c r="Q240" s="68">
        <f t="shared" si="112"/>
        <v>0</v>
      </c>
      <c r="R240" s="68">
        <f t="shared" si="112"/>
        <v>0</v>
      </c>
    </row>
    <row r="241" spans="1:18" s="21" customFormat="1" ht="38.25" hidden="1">
      <c r="A241" s="66"/>
      <c r="B241" s="41" t="s">
        <v>10</v>
      </c>
      <c r="C241" s="109" t="s">
        <v>99</v>
      </c>
      <c r="D241" s="68"/>
      <c r="E241" s="64">
        <f>D241+SUM(F241:R241)</f>
        <v>0</v>
      </c>
      <c r="F241" s="68"/>
      <c r="G241" s="68"/>
      <c r="H241" s="68"/>
      <c r="I241" s="68"/>
      <c r="J241" s="68"/>
      <c r="K241" s="68"/>
      <c r="L241" s="68"/>
      <c r="M241" s="70"/>
      <c r="N241" s="68"/>
      <c r="O241" s="68"/>
      <c r="P241" s="68"/>
      <c r="Q241" s="68"/>
      <c r="R241" s="68"/>
    </row>
    <row r="242" spans="1:18" s="21" customFormat="1" ht="38.25" hidden="1">
      <c r="A242" s="66" t="s">
        <v>441</v>
      </c>
      <c r="B242" s="41"/>
      <c r="C242" s="83" t="s">
        <v>440</v>
      </c>
      <c r="D242" s="68">
        <f>D243</f>
        <v>0</v>
      </c>
      <c r="E242" s="68">
        <f aca="true" t="shared" si="113" ref="E242:R243">E243</f>
        <v>0</v>
      </c>
      <c r="F242" s="68">
        <f t="shared" si="113"/>
        <v>0</v>
      </c>
      <c r="G242" s="68">
        <f t="shared" si="113"/>
        <v>0</v>
      </c>
      <c r="H242" s="68">
        <f t="shared" si="113"/>
        <v>0</v>
      </c>
      <c r="I242" s="68">
        <f t="shared" si="113"/>
        <v>0</v>
      </c>
      <c r="J242" s="68">
        <f t="shared" si="113"/>
        <v>0</v>
      </c>
      <c r="K242" s="68">
        <f t="shared" si="113"/>
        <v>0</v>
      </c>
      <c r="L242" s="68">
        <f t="shared" si="113"/>
        <v>0</v>
      </c>
      <c r="M242" s="68">
        <f t="shared" si="113"/>
        <v>0</v>
      </c>
      <c r="N242" s="68">
        <f t="shared" si="113"/>
        <v>0</v>
      </c>
      <c r="O242" s="68">
        <f t="shared" si="113"/>
        <v>0</v>
      </c>
      <c r="P242" s="68">
        <f t="shared" si="113"/>
        <v>0</v>
      </c>
      <c r="Q242" s="68">
        <f t="shared" si="113"/>
        <v>0</v>
      </c>
      <c r="R242" s="68">
        <f t="shared" si="113"/>
        <v>0</v>
      </c>
    </row>
    <row r="243" spans="1:18" s="21" customFormat="1" ht="38.25" hidden="1">
      <c r="A243" s="66" t="s">
        <v>442</v>
      </c>
      <c r="B243" s="41"/>
      <c r="C243" s="83" t="s">
        <v>360</v>
      </c>
      <c r="D243" s="68">
        <f>D244</f>
        <v>0</v>
      </c>
      <c r="E243" s="68">
        <f t="shared" si="113"/>
        <v>0</v>
      </c>
      <c r="F243" s="68">
        <f t="shared" si="113"/>
        <v>0</v>
      </c>
      <c r="G243" s="68">
        <f t="shared" si="113"/>
        <v>0</v>
      </c>
      <c r="H243" s="68">
        <f t="shared" si="113"/>
        <v>0</v>
      </c>
      <c r="I243" s="68">
        <f t="shared" si="113"/>
        <v>0</v>
      </c>
      <c r="J243" s="68">
        <f t="shared" si="113"/>
        <v>0</v>
      </c>
      <c r="K243" s="68">
        <f t="shared" si="113"/>
        <v>0</v>
      </c>
      <c r="L243" s="68">
        <f t="shared" si="113"/>
        <v>0</v>
      </c>
      <c r="M243" s="68">
        <f t="shared" si="113"/>
        <v>0</v>
      </c>
      <c r="N243" s="68">
        <f t="shared" si="113"/>
        <v>0</v>
      </c>
      <c r="O243" s="68">
        <f t="shared" si="113"/>
        <v>0</v>
      </c>
      <c r="P243" s="68">
        <f t="shared" si="113"/>
        <v>0</v>
      </c>
      <c r="Q243" s="68">
        <f t="shared" si="113"/>
        <v>0</v>
      </c>
      <c r="R243" s="68">
        <f t="shared" si="113"/>
        <v>0</v>
      </c>
    </row>
    <row r="244" spans="1:18" s="21" customFormat="1" ht="38.25" hidden="1">
      <c r="A244" s="66"/>
      <c r="B244" s="41" t="s">
        <v>10</v>
      </c>
      <c r="C244" s="109" t="s">
        <v>99</v>
      </c>
      <c r="D244" s="68"/>
      <c r="E244" s="93">
        <f>D244+SUM(F244:R244)</f>
        <v>0</v>
      </c>
      <c r="F244" s="68"/>
      <c r="G244" s="68"/>
      <c r="H244" s="68"/>
      <c r="I244" s="68"/>
      <c r="J244" s="68"/>
      <c r="K244" s="68"/>
      <c r="L244" s="68"/>
      <c r="M244" s="70"/>
      <c r="N244" s="68"/>
      <c r="O244" s="68"/>
      <c r="P244" s="68"/>
      <c r="Q244" s="68"/>
      <c r="R244" s="68"/>
    </row>
    <row r="245" spans="1:18" s="21" customFormat="1" ht="38.25" hidden="1">
      <c r="A245" s="66" t="s">
        <v>441</v>
      </c>
      <c r="B245" s="41"/>
      <c r="C245" s="83" t="s">
        <v>454</v>
      </c>
      <c r="D245" s="68">
        <f>D246</f>
        <v>0</v>
      </c>
      <c r="E245" s="68">
        <f aca="true" t="shared" si="114" ref="E245:R246">E246</f>
        <v>0</v>
      </c>
      <c r="F245" s="68">
        <f t="shared" si="114"/>
        <v>0</v>
      </c>
      <c r="G245" s="68">
        <f t="shared" si="114"/>
        <v>0</v>
      </c>
      <c r="H245" s="68">
        <f t="shared" si="114"/>
        <v>0</v>
      </c>
      <c r="I245" s="68">
        <f t="shared" si="114"/>
        <v>0</v>
      </c>
      <c r="J245" s="68">
        <f t="shared" si="114"/>
        <v>0</v>
      </c>
      <c r="K245" s="68">
        <f t="shared" si="114"/>
        <v>0</v>
      </c>
      <c r="L245" s="68">
        <f t="shared" si="114"/>
        <v>0</v>
      </c>
      <c r="M245" s="68">
        <f t="shared" si="114"/>
        <v>0</v>
      </c>
      <c r="N245" s="68">
        <f t="shared" si="114"/>
        <v>0</v>
      </c>
      <c r="O245" s="68">
        <f t="shared" si="114"/>
        <v>0</v>
      </c>
      <c r="P245" s="68">
        <f t="shared" si="114"/>
        <v>0</v>
      </c>
      <c r="Q245" s="68">
        <f t="shared" si="114"/>
        <v>0</v>
      </c>
      <c r="R245" s="68">
        <f t="shared" si="114"/>
        <v>0</v>
      </c>
    </row>
    <row r="246" spans="1:18" s="21" customFormat="1" ht="38.25" hidden="1">
      <c r="A246" s="66" t="s">
        <v>442</v>
      </c>
      <c r="B246" s="41"/>
      <c r="C246" s="83" t="s">
        <v>360</v>
      </c>
      <c r="D246" s="68">
        <f>D247</f>
        <v>0</v>
      </c>
      <c r="E246" s="68">
        <f t="shared" si="114"/>
        <v>0</v>
      </c>
      <c r="F246" s="68">
        <f t="shared" si="114"/>
        <v>0</v>
      </c>
      <c r="G246" s="68">
        <f t="shared" si="114"/>
        <v>0</v>
      </c>
      <c r="H246" s="68">
        <f t="shared" si="114"/>
        <v>0</v>
      </c>
      <c r="I246" s="68">
        <f t="shared" si="114"/>
        <v>0</v>
      </c>
      <c r="J246" s="68">
        <f t="shared" si="114"/>
        <v>0</v>
      </c>
      <c r="K246" s="68"/>
      <c r="L246" s="68"/>
      <c r="M246" s="70"/>
      <c r="N246" s="68"/>
      <c r="O246" s="68"/>
      <c r="P246" s="68"/>
      <c r="Q246" s="68"/>
      <c r="R246" s="68"/>
    </row>
    <row r="247" spans="1:18" s="21" customFormat="1" ht="38.25" hidden="1">
      <c r="A247" s="66"/>
      <c r="B247" s="41" t="s">
        <v>10</v>
      </c>
      <c r="C247" s="109" t="s">
        <v>99</v>
      </c>
      <c r="D247" s="68"/>
      <c r="E247" s="93">
        <f>D247+SUM(F247:R247)</f>
        <v>0</v>
      </c>
      <c r="F247" s="68"/>
      <c r="G247" s="68"/>
      <c r="H247" s="68"/>
      <c r="I247" s="68"/>
      <c r="J247" s="68"/>
      <c r="K247" s="68"/>
      <c r="L247" s="68"/>
      <c r="M247" s="70"/>
      <c r="N247" s="68"/>
      <c r="O247" s="68"/>
      <c r="P247" s="68"/>
      <c r="Q247" s="68"/>
      <c r="R247" s="68"/>
    </row>
    <row r="248" spans="1:18" s="21" customFormat="1" ht="25.5" hidden="1">
      <c r="A248" s="82" t="s">
        <v>367</v>
      </c>
      <c r="B248" s="41"/>
      <c r="C248" s="85" t="s">
        <v>136</v>
      </c>
      <c r="D248" s="68">
        <f aca="true" t="shared" si="115" ref="D248:R249">D249</f>
        <v>0</v>
      </c>
      <c r="E248" s="68">
        <f t="shared" si="115"/>
        <v>0</v>
      </c>
      <c r="F248" s="68">
        <f t="shared" si="115"/>
        <v>0</v>
      </c>
      <c r="G248" s="68">
        <f t="shared" si="115"/>
        <v>0</v>
      </c>
      <c r="H248" s="68">
        <f t="shared" si="115"/>
        <v>0</v>
      </c>
      <c r="I248" s="68">
        <f t="shared" si="115"/>
        <v>0</v>
      </c>
      <c r="J248" s="68">
        <f t="shared" si="115"/>
        <v>0</v>
      </c>
      <c r="K248" s="68">
        <f t="shared" si="115"/>
        <v>0</v>
      </c>
      <c r="L248" s="68">
        <f t="shared" si="115"/>
        <v>0</v>
      </c>
      <c r="M248" s="68">
        <f t="shared" si="115"/>
        <v>0</v>
      </c>
      <c r="N248" s="68">
        <f t="shared" si="115"/>
        <v>0</v>
      </c>
      <c r="O248" s="68">
        <f t="shared" si="115"/>
        <v>0</v>
      </c>
      <c r="P248" s="68">
        <f t="shared" si="115"/>
        <v>0</v>
      </c>
      <c r="Q248" s="68">
        <f t="shared" si="115"/>
        <v>0</v>
      </c>
      <c r="R248" s="68">
        <f t="shared" si="115"/>
        <v>0</v>
      </c>
    </row>
    <row r="249" spans="1:18" s="21" customFormat="1" ht="32.25" customHeight="1" hidden="1">
      <c r="A249" s="66" t="s">
        <v>368</v>
      </c>
      <c r="B249" s="41"/>
      <c r="C249" s="83" t="s">
        <v>370</v>
      </c>
      <c r="D249" s="68">
        <f t="shared" si="115"/>
        <v>0</v>
      </c>
      <c r="E249" s="68">
        <f t="shared" si="115"/>
        <v>0</v>
      </c>
      <c r="F249" s="68">
        <f t="shared" si="115"/>
        <v>0</v>
      </c>
      <c r="G249" s="68">
        <f t="shared" si="115"/>
        <v>0</v>
      </c>
      <c r="H249" s="68">
        <f t="shared" si="115"/>
        <v>0</v>
      </c>
      <c r="I249" s="68">
        <f t="shared" si="115"/>
        <v>0</v>
      </c>
      <c r="J249" s="68">
        <f t="shared" si="115"/>
        <v>0</v>
      </c>
      <c r="K249" s="68">
        <f t="shared" si="115"/>
        <v>0</v>
      </c>
      <c r="L249" s="68">
        <f t="shared" si="115"/>
        <v>0</v>
      </c>
      <c r="M249" s="68">
        <f t="shared" si="115"/>
        <v>0</v>
      </c>
      <c r="N249" s="68">
        <f t="shared" si="115"/>
        <v>0</v>
      </c>
      <c r="O249" s="68">
        <f t="shared" si="115"/>
        <v>0</v>
      </c>
      <c r="P249" s="68">
        <f t="shared" si="115"/>
        <v>0</v>
      </c>
      <c r="Q249" s="68">
        <f t="shared" si="115"/>
        <v>0</v>
      </c>
      <c r="R249" s="68">
        <f t="shared" si="115"/>
        <v>0</v>
      </c>
    </row>
    <row r="250" spans="1:18" s="21" customFormat="1" ht="32.25" customHeight="1" hidden="1">
      <c r="A250" s="66" t="s">
        <v>438</v>
      </c>
      <c r="B250" s="41"/>
      <c r="C250" s="83" t="s">
        <v>371</v>
      </c>
      <c r="D250" s="68">
        <f>D251+D252</f>
        <v>0</v>
      </c>
      <c r="E250" s="68">
        <f aca="true" t="shared" si="116" ref="E250:R250">E251+E252</f>
        <v>0</v>
      </c>
      <c r="F250" s="68">
        <f t="shared" si="116"/>
        <v>0</v>
      </c>
      <c r="G250" s="68">
        <f t="shared" si="116"/>
        <v>0</v>
      </c>
      <c r="H250" s="68">
        <f t="shared" si="116"/>
        <v>0</v>
      </c>
      <c r="I250" s="68">
        <f t="shared" si="116"/>
        <v>0</v>
      </c>
      <c r="J250" s="68">
        <f t="shared" si="116"/>
        <v>0</v>
      </c>
      <c r="K250" s="68">
        <f t="shared" si="116"/>
        <v>0</v>
      </c>
      <c r="L250" s="68">
        <f t="shared" si="116"/>
        <v>0</v>
      </c>
      <c r="M250" s="68">
        <f t="shared" si="116"/>
        <v>0</v>
      </c>
      <c r="N250" s="68">
        <f t="shared" si="116"/>
        <v>0</v>
      </c>
      <c r="O250" s="68">
        <f t="shared" si="116"/>
        <v>0</v>
      </c>
      <c r="P250" s="68">
        <f>P251+P252</f>
        <v>0</v>
      </c>
      <c r="Q250" s="68">
        <f>Q251+Q252</f>
        <v>0</v>
      </c>
      <c r="R250" s="68">
        <f t="shared" si="116"/>
        <v>0</v>
      </c>
    </row>
    <row r="251" spans="1:18" s="21" customFormat="1" ht="25.5" hidden="1">
      <c r="A251" s="66"/>
      <c r="B251" s="41" t="s">
        <v>3</v>
      </c>
      <c r="C251" s="67" t="s">
        <v>95</v>
      </c>
      <c r="D251" s="68"/>
      <c r="E251" s="64">
        <f>D251+SUM(F251:R251)</f>
        <v>0</v>
      </c>
      <c r="F251" s="68"/>
      <c r="G251" s="68"/>
      <c r="H251" s="68"/>
      <c r="I251" s="68"/>
      <c r="J251" s="68"/>
      <c r="K251" s="68"/>
      <c r="L251" s="68"/>
      <c r="M251" s="70"/>
      <c r="N251" s="68"/>
      <c r="O251" s="68"/>
      <c r="P251" s="68"/>
      <c r="Q251" s="68"/>
      <c r="R251" s="68"/>
    </row>
    <row r="252" spans="1:18" s="21" customFormat="1" ht="29.25" customHeight="1" hidden="1">
      <c r="A252" s="66"/>
      <c r="B252" s="41" t="s">
        <v>11</v>
      </c>
      <c r="C252" s="67" t="s">
        <v>12</v>
      </c>
      <c r="D252" s="19"/>
      <c r="E252" s="64">
        <f>D252+SUM(F252:R252)</f>
        <v>0</v>
      </c>
      <c r="F252" s="68"/>
      <c r="G252" s="68"/>
      <c r="H252" s="68"/>
      <c r="I252" s="68"/>
      <c r="J252" s="68"/>
      <c r="K252" s="68"/>
      <c r="L252" s="68"/>
      <c r="M252" s="70"/>
      <c r="N252" s="68"/>
      <c r="O252" s="68"/>
      <c r="P252" s="68"/>
      <c r="Q252" s="68"/>
      <c r="R252" s="68"/>
    </row>
    <row r="253" spans="1:18" s="21" customFormat="1" ht="38.25" hidden="1">
      <c r="A253" s="63" t="s">
        <v>372</v>
      </c>
      <c r="B253" s="11"/>
      <c r="C253" s="84" t="s">
        <v>137</v>
      </c>
      <c r="D253" s="73">
        <f aca="true" t="shared" si="117" ref="D253:R253">D254+D270+D274+D295+D266+D301</f>
        <v>74573.09999999999</v>
      </c>
      <c r="E253" s="73">
        <f t="shared" si="117"/>
        <v>68175.83716000001</v>
      </c>
      <c r="F253" s="73">
        <f t="shared" si="117"/>
        <v>0</v>
      </c>
      <c r="G253" s="73">
        <f t="shared" si="117"/>
        <v>9558.472</v>
      </c>
      <c r="H253" s="73">
        <f t="shared" si="117"/>
        <v>-3504.8664000000003</v>
      </c>
      <c r="I253" s="73">
        <f t="shared" si="117"/>
        <v>-135</v>
      </c>
      <c r="J253" s="73">
        <f t="shared" si="117"/>
        <v>-11935.3</v>
      </c>
      <c r="K253" s="73">
        <f t="shared" si="117"/>
        <v>2275.83604</v>
      </c>
      <c r="L253" s="73">
        <f t="shared" si="117"/>
        <v>0</v>
      </c>
      <c r="M253" s="73">
        <f t="shared" si="117"/>
        <v>-911.40448</v>
      </c>
      <c r="N253" s="73">
        <f t="shared" si="117"/>
        <v>-1887</v>
      </c>
      <c r="O253" s="73">
        <f t="shared" si="117"/>
        <v>142</v>
      </c>
      <c r="P253" s="73">
        <f>P254+P270+P274+P295+P266+P301</f>
        <v>0</v>
      </c>
      <c r="Q253" s="73">
        <f>Q254+Q270+Q274+Q295+Q266+Q301</f>
        <v>0</v>
      </c>
      <c r="R253" s="73">
        <f t="shared" si="117"/>
        <v>0</v>
      </c>
    </row>
    <row r="254" spans="1:18" s="21" customFormat="1" ht="25.5" hidden="1">
      <c r="A254" s="82" t="s">
        <v>373</v>
      </c>
      <c r="B254" s="41"/>
      <c r="C254" s="85" t="s">
        <v>138</v>
      </c>
      <c r="D254" s="68">
        <f>D255+D258+D263</f>
        <v>41495.5</v>
      </c>
      <c r="E254" s="68">
        <f aca="true" t="shared" si="118" ref="E254:R254">E255+E258+E263</f>
        <v>38788.95434</v>
      </c>
      <c r="F254" s="68">
        <f t="shared" si="118"/>
        <v>0</v>
      </c>
      <c r="G254" s="68">
        <f t="shared" si="118"/>
        <v>10486</v>
      </c>
      <c r="H254" s="68">
        <f t="shared" si="118"/>
        <v>-1553.1756599999999</v>
      </c>
      <c r="I254" s="68">
        <f t="shared" si="118"/>
        <v>-135</v>
      </c>
      <c r="J254" s="68">
        <f t="shared" si="118"/>
        <v>-11890.4</v>
      </c>
      <c r="K254" s="68">
        <f t="shared" si="118"/>
        <v>2500</v>
      </c>
      <c r="L254" s="68">
        <f t="shared" si="118"/>
        <v>0</v>
      </c>
      <c r="M254" s="68">
        <f t="shared" si="118"/>
        <v>-711.37</v>
      </c>
      <c r="N254" s="68">
        <f t="shared" si="118"/>
        <v>-1402.6</v>
      </c>
      <c r="O254" s="68">
        <f t="shared" si="118"/>
        <v>0</v>
      </c>
      <c r="P254" s="68">
        <f>P255+P258+P263</f>
        <v>0</v>
      </c>
      <c r="Q254" s="68">
        <f>Q255+Q258+Q263</f>
        <v>0</v>
      </c>
      <c r="R254" s="68">
        <f t="shared" si="118"/>
        <v>0</v>
      </c>
    </row>
    <row r="255" spans="1:18" s="21" customFormat="1" ht="38.25" hidden="1">
      <c r="A255" s="66" t="s">
        <v>374</v>
      </c>
      <c r="B255" s="41"/>
      <c r="C255" s="83" t="s">
        <v>376</v>
      </c>
      <c r="D255" s="68">
        <f>D256</f>
        <v>33295.5</v>
      </c>
      <c r="E255" s="68">
        <f aca="true" t="shared" si="119" ref="E255:R256">E256</f>
        <v>35317.505</v>
      </c>
      <c r="F255" s="68">
        <f t="shared" si="119"/>
        <v>0</v>
      </c>
      <c r="G255" s="68">
        <f t="shared" si="119"/>
        <v>0</v>
      </c>
      <c r="H255" s="68">
        <f t="shared" si="119"/>
        <v>883.205</v>
      </c>
      <c r="I255" s="68">
        <f t="shared" si="119"/>
        <v>-135</v>
      </c>
      <c r="J255" s="68">
        <f t="shared" si="119"/>
        <v>-340.1</v>
      </c>
      <c r="K255" s="68">
        <f t="shared" si="119"/>
        <v>2500</v>
      </c>
      <c r="L255" s="68">
        <f t="shared" si="119"/>
        <v>0</v>
      </c>
      <c r="M255" s="68">
        <f t="shared" si="119"/>
        <v>-172.1</v>
      </c>
      <c r="N255" s="68">
        <f t="shared" si="119"/>
        <v>-1014</v>
      </c>
      <c r="O255" s="68">
        <f t="shared" si="119"/>
        <v>0</v>
      </c>
      <c r="P255" s="68">
        <f t="shared" si="119"/>
        <v>300</v>
      </c>
      <c r="Q255" s="68">
        <f t="shared" si="119"/>
        <v>0</v>
      </c>
      <c r="R255" s="68">
        <f t="shared" si="119"/>
        <v>0</v>
      </c>
    </row>
    <row r="256" spans="1:18" s="21" customFormat="1" ht="38.25" hidden="1">
      <c r="A256" s="66" t="s">
        <v>375</v>
      </c>
      <c r="B256" s="41"/>
      <c r="C256" s="83" t="s">
        <v>360</v>
      </c>
      <c r="D256" s="68">
        <f>D257</f>
        <v>33295.5</v>
      </c>
      <c r="E256" s="68">
        <f t="shared" si="119"/>
        <v>35317.505</v>
      </c>
      <c r="F256" s="68">
        <f t="shared" si="119"/>
        <v>0</v>
      </c>
      <c r="G256" s="68">
        <f t="shared" si="119"/>
        <v>0</v>
      </c>
      <c r="H256" s="68">
        <f t="shared" si="119"/>
        <v>883.205</v>
      </c>
      <c r="I256" s="68">
        <f t="shared" si="119"/>
        <v>-135</v>
      </c>
      <c r="J256" s="68">
        <f t="shared" si="119"/>
        <v>-340.1</v>
      </c>
      <c r="K256" s="68">
        <f t="shared" si="119"/>
        <v>2500</v>
      </c>
      <c r="L256" s="68">
        <f t="shared" si="119"/>
        <v>0</v>
      </c>
      <c r="M256" s="68">
        <f t="shared" si="119"/>
        <v>-172.1</v>
      </c>
      <c r="N256" s="68">
        <f t="shared" si="119"/>
        <v>-1014</v>
      </c>
      <c r="O256" s="68">
        <f t="shared" si="119"/>
        <v>0</v>
      </c>
      <c r="P256" s="68">
        <f t="shared" si="119"/>
        <v>300</v>
      </c>
      <c r="Q256" s="68">
        <f t="shared" si="119"/>
        <v>0</v>
      </c>
      <c r="R256" s="68">
        <f t="shared" si="119"/>
        <v>0</v>
      </c>
    </row>
    <row r="257" spans="1:18" s="21" customFormat="1" ht="25.5" hidden="1">
      <c r="A257" s="66"/>
      <c r="B257" s="41" t="s">
        <v>3</v>
      </c>
      <c r="C257" s="67" t="s">
        <v>95</v>
      </c>
      <c r="D257" s="68">
        <f>33295.5</f>
        <v>33295.5</v>
      </c>
      <c r="E257" s="64">
        <f>D257+SUM(F257:R257)</f>
        <v>35317.505</v>
      </c>
      <c r="F257" s="68"/>
      <c r="G257" s="68"/>
      <c r="H257" s="68">
        <v>883.205</v>
      </c>
      <c r="I257" s="68">
        <v>-135</v>
      </c>
      <c r="J257" s="68">
        <f>-147-193.1</f>
        <v>-340.1</v>
      </c>
      <c r="K257" s="68">
        <f>2500</f>
        <v>2500</v>
      </c>
      <c r="L257" s="68"/>
      <c r="M257" s="68">
        <v>-172.1</v>
      </c>
      <c r="N257" s="68">
        <f>-1014</f>
        <v>-1014</v>
      </c>
      <c r="O257" s="68"/>
      <c r="P257" s="68">
        <v>300</v>
      </c>
      <c r="Q257" s="68"/>
      <c r="R257" s="68"/>
    </row>
    <row r="258" spans="1:18" s="21" customFormat="1" ht="25.5" hidden="1">
      <c r="A258" s="66" t="s">
        <v>377</v>
      </c>
      <c r="B258" s="41"/>
      <c r="C258" s="83" t="s">
        <v>379</v>
      </c>
      <c r="D258" s="68">
        <f>D259+D261</f>
        <v>400</v>
      </c>
      <c r="E258" s="68">
        <f aca="true" t="shared" si="120" ref="E258:R258">E259+E261</f>
        <v>472.1</v>
      </c>
      <c r="F258" s="68">
        <f t="shared" si="120"/>
        <v>0</v>
      </c>
      <c r="G258" s="68">
        <f t="shared" si="120"/>
        <v>10486</v>
      </c>
      <c r="H258" s="68">
        <f t="shared" si="120"/>
        <v>0</v>
      </c>
      <c r="I258" s="68">
        <f t="shared" si="120"/>
        <v>0</v>
      </c>
      <c r="J258" s="68">
        <f t="shared" si="120"/>
        <v>-10486</v>
      </c>
      <c r="K258" s="68">
        <f t="shared" si="120"/>
        <v>0</v>
      </c>
      <c r="L258" s="68">
        <f t="shared" si="120"/>
        <v>0</v>
      </c>
      <c r="M258" s="68">
        <f t="shared" si="120"/>
        <v>72.1</v>
      </c>
      <c r="N258" s="68">
        <f t="shared" si="120"/>
        <v>0</v>
      </c>
      <c r="O258" s="68">
        <f t="shared" si="120"/>
        <v>0</v>
      </c>
      <c r="P258" s="68">
        <f>P259+P261</f>
        <v>0</v>
      </c>
      <c r="Q258" s="68">
        <f>Q259+Q261</f>
        <v>0</v>
      </c>
      <c r="R258" s="68">
        <f t="shared" si="120"/>
        <v>0</v>
      </c>
    </row>
    <row r="259" spans="1:18" s="21" customFormat="1" ht="38.25" hidden="1">
      <c r="A259" s="66" t="s">
        <v>378</v>
      </c>
      <c r="B259" s="41"/>
      <c r="C259" s="83" t="s">
        <v>360</v>
      </c>
      <c r="D259" s="68">
        <f>D260</f>
        <v>400</v>
      </c>
      <c r="E259" s="68">
        <f aca="true" t="shared" si="121" ref="E259:R259">E260</f>
        <v>472.1</v>
      </c>
      <c r="F259" s="68">
        <f t="shared" si="121"/>
        <v>0</v>
      </c>
      <c r="G259" s="68">
        <f t="shared" si="121"/>
        <v>0</v>
      </c>
      <c r="H259" s="68">
        <f t="shared" si="121"/>
        <v>0</v>
      </c>
      <c r="I259" s="68">
        <f t="shared" si="121"/>
        <v>0</v>
      </c>
      <c r="J259" s="68">
        <f t="shared" si="121"/>
        <v>0</v>
      </c>
      <c r="K259" s="68">
        <f t="shared" si="121"/>
        <v>0</v>
      </c>
      <c r="L259" s="68">
        <f t="shared" si="121"/>
        <v>0</v>
      </c>
      <c r="M259" s="68">
        <f t="shared" si="121"/>
        <v>72.1</v>
      </c>
      <c r="N259" s="68">
        <f t="shared" si="121"/>
        <v>0</v>
      </c>
      <c r="O259" s="68">
        <f t="shared" si="121"/>
        <v>0</v>
      </c>
      <c r="P259" s="68">
        <f t="shared" si="121"/>
        <v>0</v>
      </c>
      <c r="Q259" s="68">
        <f t="shared" si="121"/>
        <v>0</v>
      </c>
      <c r="R259" s="68">
        <f t="shared" si="121"/>
        <v>0</v>
      </c>
    </row>
    <row r="260" spans="1:18" s="21" customFormat="1" ht="25.5" hidden="1">
      <c r="A260" s="66"/>
      <c r="B260" s="41" t="s">
        <v>3</v>
      </c>
      <c r="C260" s="67" t="s">
        <v>95</v>
      </c>
      <c r="D260" s="68">
        <f>400</f>
        <v>400</v>
      </c>
      <c r="E260" s="64">
        <f>D260+SUM(F260:R260)</f>
        <v>472.1</v>
      </c>
      <c r="F260" s="68"/>
      <c r="G260" s="68"/>
      <c r="H260" s="69"/>
      <c r="I260" s="69"/>
      <c r="J260" s="68"/>
      <c r="K260" s="68"/>
      <c r="L260" s="68"/>
      <c r="M260" s="70">
        <v>72.1</v>
      </c>
      <c r="N260" s="68"/>
      <c r="O260" s="68"/>
      <c r="P260" s="68"/>
      <c r="Q260" s="68"/>
      <c r="R260" s="68"/>
    </row>
    <row r="261" spans="1:18" s="21" customFormat="1" ht="63.75" hidden="1">
      <c r="A261" s="66" t="s">
        <v>522</v>
      </c>
      <c r="B261" s="41"/>
      <c r="C261" s="67" t="s">
        <v>523</v>
      </c>
      <c r="D261" s="68">
        <f>D262</f>
        <v>0</v>
      </c>
      <c r="E261" s="68">
        <f aca="true" t="shared" si="122" ref="E261:R261">E262</f>
        <v>0</v>
      </c>
      <c r="F261" s="68">
        <f t="shared" si="122"/>
        <v>0</v>
      </c>
      <c r="G261" s="68">
        <f t="shared" si="122"/>
        <v>10486</v>
      </c>
      <c r="H261" s="68">
        <f t="shared" si="122"/>
        <v>0</v>
      </c>
      <c r="I261" s="68">
        <f t="shared" si="122"/>
        <v>0</v>
      </c>
      <c r="J261" s="68">
        <f t="shared" si="122"/>
        <v>-10486</v>
      </c>
      <c r="K261" s="68">
        <f t="shared" si="122"/>
        <v>0</v>
      </c>
      <c r="L261" s="68">
        <f t="shared" si="122"/>
        <v>0</v>
      </c>
      <c r="M261" s="68">
        <f t="shared" si="122"/>
        <v>0</v>
      </c>
      <c r="N261" s="68">
        <f t="shared" si="122"/>
        <v>0</v>
      </c>
      <c r="O261" s="68">
        <f t="shared" si="122"/>
        <v>0</v>
      </c>
      <c r="P261" s="68">
        <f t="shared" si="122"/>
        <v>0</v>
      </c>
      <c r="Q261" s="68">
        <f t="shared" si="122"/>
        <v>0</v>
      </c>
      <c r="R261" s="68">
        <f t="shared" si="122"/>
        <v>0</v>
      </c>
    </row>
    <row r="262" spans="1:18" s="21" customFormat="1" ht="25.5" hidden="1">
      <c r="A262" s="66"/>
      <c r="B262" s="41" t="s">
        <v>3</v>
      </c>
      <c r="C262" s="67" t="s">
        <v>95</v>
      </c>
      <c r="D262" s="68"/>
      <c r="E262" s="64">
        <f>D262+SUM(F262:R262)</f>
        <v>0</v>
      </c>
      <c r="F262" s="68"/>
      <c r="G262" s="68">
        <f>10486</f>
        <v>10486</v>
      </c>
      <c r="H262" s="69"/>
      <c r="I262" s="69"/>
      <c r="J262" s="68">
        <v>-10486</v>
      </c>
      <c r="K262" s="68"/>
      <c r="L262" s="68"/>
      <c r="M262" s="70"/>
      <c r="N262" s="68"/>
      <c r="O262" s="68"/>
      <c r="P262" s="68"/>
      <c r="Q262" s="68"/>
      <c r="R262" s="68"/>
    </row>
    <row r="263" spans="1:18" s="21" customFormat="1" ht="41.25" customHeight="1" hidden="1">
      <c r="A263" s="66" t="s">
        <v>380</v>
      </c>
      <c r="B263" s="41"/>
      <c r="C263" s="83" t="s">
        <v>382</v>
      </c>
      <c r="D263" s="64">
        <f>D264</f>
        <v>7800</v>
      </c>
      <c r="E263" s="64">
        <f aca="true" t="shared" si="123" ref="E263:R264">E264</f>
        <v>2999.3493399999998</v>
      </c>
      <c r="F263" s="64">
        <f t="shared" si="123"/>
        <v>0</v>
      </c>
      <c r="G263" s="64">
        <f t="shared" si="123"/>
        <v>0</v>
      </c>
      <c r="H263" s="64">
        <f t="shared" si="123"/>
        <v>-2436.38066</v>
      </c>
      <c r="I263" s="64">
        <f t="shared" si="123"/>
        <v>0</v>
      </c>
      <c r="J263" s="64">
        <f t="shared" si="123"/>
        <v>-1064.3</v>
      </c>
      <c r="K263" s="64">
        <f t="shared" si="123"/>
        <v>0</v>
      </c>
      <c r="L263" s="64">
        <f t="shared" si="123"/>
        <v>0</v>
      </c>
      <c r="M263" s="64">
        <f t="shared" si="123"/>
        <v>-611.37</v>
      </c>
      <c r="N263" s="64">
        <f t="shared" si="123"/>
        <v>-388.6</v>
      </c>
      <c r="O263" s="64">
        <f t="shared" si="123"/>
        <v>0</v>
      </c>
      <c r="P263" s="64">
        <f t="shared" si="123"/>
        <v>-300</v>
      </c>
      <c r="Q263" s="64">
        <f t="shared" si="123"/>
        <v>0</v>
      </c>
      <c r="R263" s="64">
        <f t="shared" si="123"/>
        <v>0</v>
      </c>
    </row>
    <row r="264" spans="1:18" s="21" customFormat="1" ht="41.25" customHeight="1" hidden="1">
      <c r="A264" s="66" t="s">
        <v>381</v>
      </c>
      <c r="B264" s="41"/>
      <c r="C264" s="83" t="s">
        <v>360</v>
      </c>
      <c r="D264" s="64">
        <f>D265</f>
        <v>7800</v>
      </c>
      <c r="E264" s="64">
        <f t="shared" si="123"/>
        <v>2999.3493399999998</v>
      </c>
      <c r="F264" s="64">
        <f t="shared" si="123"/>
        <v>0</v>
      </c>
      <c r="G264" s="64">
        <f t="shared" si="123"/>
        <v>0</v>
      </c>
      <c r="H264" s="64">
        <f t="shared" si="123"/>
        <v>-2436.38066</v>
      </c>
      <c r="I264" s="64">
        <f t="shared" si="123"/>
        <v>0</v>
      </c>
      <c r="J264" s="64">
        <f t="shared" si="123"/>
        <v>-1064.3</v>
      </c>
      <c r="K264" s="64">
        <f t="shared" si="123"/>
        <v>0</v>
      </c>
      <c r="L264" s="64">
        <f t="shared" si="123"/>
        <v>0</v>
      </c>
      <c r="M264" s="64">
        <f t="shared" si="123"/>
        <v>-611.37</v>
      </c>
      <c r="N264" s="64">
        <f t="shared" si="123"/>
        <v>-388.6</v>
      </c>
      <c r="O264" s="64">
        <f t="shared" si="123"/>
        <v>0</v>
      </c>
      <c r="P264" s="64">
        <f t="shared" si="123"/>
        <v>-300</v>
      </c>
      <c r="Q264" s="64">
        <f t="shared" si="123"/>
        <v>0</v>
      </c>
      <c r="R264" s="64">
        <f t="shared" si="123"/>
        <v>0</v>
      </c>
    </row>
    <row r="265" spans="1:18" s="21" customFormat="1" ht="30" customHeight="1" hidden="1">
      <c r="A265" s="66"/>
      <c r="B265" s="41" t="s">
        <v>3</v>
      </c>
      <c r="C265" s="67" t="s">
        <v>95</v>
      </c>
      <c r="D265" s="64">
        <f>7300+500</f>
        <v>7800</v>
      </c>
      <c r="E265" s="64">
        <f>D265+SUM(F265:R265)</f>
        <v>2999.3493399999998</v>
      </c>
      <c r="F265" s="64"/>
      <c r="G265" s="64"/>
      <c r="H265" s="65">
        <f>-2436.38066</f>
        <v>-2436.38066</v>
      </c>
      <c r="I265" s="65"/>
      <c r="J265" s="64">
        <v>-1064.3</v>
      </c>
      <c r="K265" s="64"/>
      <c r="L265" s="64"/>
      <c r="M265" s="64">
        <v>-611.37</v>
      </c>
      <c r="N265" s="64">
        <f>-388.6</f>
        <v>-388.6</v>
      </c>
      <c r="O265" s="64"/>
      <c r="P265" s="64">
        <v>-300</v>
      </c>
      <c r="Q265" s="64"/>
      <c r="R265" s="64"/>
    </row>
    <row r="266" spans="1:18" s="21" customFormat="1" ht="30" customHeight="1" hidden="1">
      <c r="A266" s="82" t="s">
        <v>383</v>
      </c>
      <c r="B266" s="99"/>
      <c r="C266" s="103" t="s">
        <v>156</v>
      </c>
      <c r="D266" s="64">
        <f>D267</f>
        <v>300</v>
      </c>
      <c r="E266" s="64">
        <f aca="true" t="shared" si="124" ref="E266:R268">E267</f>
        <v>83.1</v>
      </c>
      <c r="F266" s="64">
        <f t="shared" si="124"/>
        <v>0</v>
      </c>
      <c r="G266" s="64">
        <f t="shared" si="124"/>
        <v>0</v>
      </c>
      <c r="H266" s="64">
        <f t="shared" si="124"/>
        <v>0</v>
      </c>
      <c r="I266" s="64">
        <f t="shared" si="124"/>
        <v>0</v>
      </c>
      <c r="J266" s="64">
        <f t="shared" si="124"/>
        <v>0</v>
      </c>
      <c r="K266" s="64">
        <f t="shared" si="124"/>
        <v>0</v>
      </c>
      <c r="L266" s="64">
        <f t="shared" si="124"/>
        <v>0</v>
      </c>
      <c r="M266" s="64">
        <f t="shared" si="124"/>
        <v>0</v>
      </c>
      <c r="N266" s="64">
        <f t="shared" si="124"/>
        <v>-216.9</v>
      </c>
      <c r="O266" s="64">
        <f t="shared" si="124"/>
        <v>0</v>
      </c>
      <c r="P266" s="64">
        <f t="shared" si="124"/>
        <v>0</v>
      </c>
      <c r="Q266" s="64">
        <f t="shared" si="124"/>
        <v>0</v>
      </c>
      <c r="R266" s="64">
        <f t="shared" si="124"/>
        <v>0</v>
      </c>
    </row>
    <row r="267" spans="1:18" s="21" customFormat="1" ht="30" customHeight="1" hidden="1">
      <c r="A267" s="66" t="s">
        <v>384</v>
      </c>
      <c r="B267" s="41"/>
      <c r="C267" s="67" t="s">
        <v>386</v>
      </c>
      <c r="D267" s="64">
        <f>D268</f>
        <v>300</v>
      </c>
      <c r="E267" s="64">
        <f t="shared" si="124"/>
        <v>83.1</v>
      </c>
      <c r="F267" s="64">
        <f t="shared" si="124"/>
        <v>0</v>
      </c>
      <c r="G267" s="64">
        <f t="shared" si="124"/>
        <v>0</v>
      </c>
      <c r="H267" s="64">
        <f t="shared" si="124"/>
        <v>0</v>
      </c>
      <c r="I267" s="64">
        <f t="shared" si="124"/>
        <v>0</v>
      </c>
      <c r="J267" s="64">
        <f t="shared" si="124"/>
        <v>0</v>
      </c>
      <c r="K267" s="64">
        <f t="shared" si="124"/>
        <v>0</v>
      </c>
      <c r="L267" s="64">
        <f t="shared" si="124"/>
        <v>0</v>
      </c>
      <c r="M267" s="64">
        <f t="shared" si="124"/>
        <v>0</v>
      </c>
      <c r="N267" s="64">
        <f t="shared" si="124"/>
        <v>-216.9</v>
      </c>
      <c r="O267" s="64">
        <f t="shared" si="124"/>
        <v>0</v>
      </c>
      <c r="P267" s="64">
        <f t="shared" si="124"/>
        <v>0</v>
      </c>
      <c r="Q267" s="64">
        <f t="shared" si="124"/>
        <v>0</v>
      </c>
      <c r="R267" s="64">
        <f t="shared" si="124"/>
        <v>0</v>
      </c>
    </row>
    <row r="268" spans="1:18" s="21" customFormat="1" ht="25.5" customHeight="1" hidden="1">
      <c r="A268" s="66" t="s">
        <v>385</v>
      </c>
      <c r="B268" s="41"/>
      <c r="C268" s="67" t="s">
        <v>387</v>
      </c>
      <c r="D268" s="64">
        <f>D269</f>
        <v>300</v>
      </c>
      <c r="E268" s="64">
        <f t="shared" si="124"/>
        <v>83.1</v>
      </c>
      <c r="F268" s="64">
        <f t="shared" si="124"/>
        <v>0</v>
      </c>
      <c r="G268" s="64">
        <f t="shared" si="124"/>
        <v>0</v>
      </c>
      <c r="H268" s="64">
        <f t="shared" si="124"/>
        <v>0</v>
      </c>
      <c r="I268" s="64">
        <f t="shared" si="124"/>
        <v>0</v>
      </c>
      <c r="J268" s="64">
        <f t="shared" si="124"/>
        <v>0</v>
      </c>
      <c r="K268" s="64">
        <f t="shared" si="124"/>
        <v>0</v>
      </c>
      <c r="L268" s="64">
        <f t="shared" si="124"/>
        <v>0</v>
      </c>
      <c r="M268" s="64">
        <f t="shared" si="124"/>
        <v>0</v>
      </c>
      <c r="N268" s="64">
        <f t="shared" si="124"/>
        <v>-216.9</v>
      </c>
      <c r="O268" s="64">
        <f t="shared" si="124"/>
        <v>0</v>
      </c>
      <c r="P268" s="64">
        <f t="shared" si="124"/>
        <v>0</v>
      </c>
      <c r="Q268" s="64">
        <f t="shared" si="124"/>
        <v>0</v>
      </c>
      <c r="R268" s="64">
        <f t="shared" si="124"/>
        <v>0</v>
      </c>
    </row>
    <row r="269" spans="1:18" s="21" customFormat="1" ht="30" customHeight="1" hidden="1">
      <c r="A269" s="66"/>
      <c r="B269" s="41" t="s">
        <v>3</v>
      </c>
      <c r="C269" s="67" t="s">
        <v>95</v>
      </c>
      <c r="D269" s="64">
        <f>300</f>
        <v>300</v>
      </c>
      <c r="E269" s="64">
        <f>D269+SUM(F269:R269)</f>
        <v>83.1</v>
      </c>
      <c r="F269" s="64"/>
      <c r="G269" s="64"/>
      <c r="H269" s="65"/>
      <c r="I269" s="65"/>
      <c r="J269" s="64"/>
      <c r="K269" s="64"/>
      <c r="L269" s="64"/>
      <c r="M269" s="64"/>
      <c r="N269" s="64">
        <f>-216.9</f>
        <v>-216.9</v>
      </c>
      <c r="O269" s="64"/>
      <c r="P269" s="64"/>
      <c r="Q269" s="64"/>
      <c r="R269" s="64"/>
    </row>
    <row r="270" spans="1:18" s="21" customFormat="1" ht="28.5" customHeight="1" hidden="1">
      <c r="A270" s="82" t="s">
        <v>388</v>
      </c>
      <c r="B270" s="41"/>
      <c r="C270" s="85" t="s">
        <v>139</v>
      </c>
      <c r="D270" s="64">
        <f>D271</f>
        <v>300</v>
      </c>
      <c r="E270" s="64">
        <f aca="true" t="shared" si="125" ref="E270:R272">E271</f>
        <v>120</v>
      </c>
      <c r="F270" s="64">
        <f t="shared" si="125"/>
        <v>0</v>
      </c>
      <c r="G270" s="64">
        <f t="shared" si="125"/>
        <v>0</v>
      </c>
      <c r="H270" s="64">
        <f t="shared" si="125"/>
        <v>0</v>
      </c>
      <c r="I270" s="64">
        <f t="shared" si="125"/>
        <v>0</v>
      </c>
      <c r="J270" s="64">
        <f t="shared" si="125"/>
        <v>0</v>
      </c>
      <c r="K270" s="64">
        <f t="shared" si="125"/>
        <v>0</v>
      </c>
      <c r="L270" s="64">
        <f t="shared" si="125"/>
        <v>0</v>
      </c>
      <c r="M270" s="64">
        <f t="shared" si="125"/>
        <v>0</v>
      </c>
      <c r="N270" s="64">
        <f t="shared" si="125"/>
        <v>-180</v>
      </c>
      <c r="O270" s="64">
        <f t="shared" si="125"/>
        <v>0</v>
      </c>
      <c r="P270" s="64">
        <f t="shared" si="125"/>
        <v>0</v>
      </c>
      <c r="Q270" s="64">
        <f t="shared" si="125"/>
        <v>0</v>
      </c>
      <c r="R270" s="64">
        <f t="shared" si="125"/>
        <v>0</v>
      </c>
    </row>
    <row r="271" spans="1:18" s="21" customFormat="1" ht="27" customHeight="1" hidden="1">
      <c r="A271" s="66" t="s">
        <v>389</v>
      </c>
      <c r="B271" s="41"/>
      <c r="C271" s="83" t="s">
        <v>391</v>
      </c>
      <c r="D271" s="64">
        <f>D272</f>
        <v>300</v>
      </c>
      <c r="E271" s="64">
        <f t="shared" si="125"/>
        <v>120</v>
      </c>
      <c r="F271" s="64">
        <f t="shared" si="125"/>
        <v>0</v>
      </c>
      <c r="G271" s="64">
        <f t="shared" si="125"/>
        <v>0</v>
      </c>
      <c r="H271" s="64">
        <f t="shared" si="125"/>
        <v>0</v>
      </c>
      <c r="I271" s="64">
        <f t="shared" si="125"/>
        <v>0</v>
      </c>
      <c r="J271" s="64">
        <f t="shared" si="125"/>
        <v>0</v>
      </c>
      <c r="K271" s="64">
        <f t="shared" si="125"/>
        <v>0</v>
      </c>
      <c r="L271" s="64">
        <f t="shared" si="125"/>
        <v>0</v>
      </c>
      <c r="M271" s="64">
        <f t="shared" si="125"/>
        <v>0</v>
      </c>
      <c r="N271" s="64">
        <f t="shared" si="125"/>
        <v>-180</v>
      </c>
      <c r="O271" s="64">
        <f t="shared" si="125"/>
        <v>0</v>
      </c>
      <c r="P271" s="64">
        <f t="shared" si="125"/>
        <v>0</v>
      </c>
      <c r="Q271" s="64">
        <f t="shared" si="125"/>
        <v>0</v>
      </c>
      <c r="R271" s="64">
        <f t="shared" si="125"/>
        <v>0</v>
      </c>
    </row>
    <row r="272" spans="1:18" s="21" customFormat="1" ht="22.5" customHeight="1" hidden="1">
      <c r="A272" s="66" t="s">
        <v>390</v>
      </c>
      <c r="B272" s="41"/>
      <c r="C272" s="83" t="s">
        <v>392</v>
      </c>
      <c r="D272" s="64">
        <f>D273</f>
        <v>300</v>
      </c>
      <c r="E272" s="64">
        <f t="shared" si="125"/>
        <v>120</v>
      </c>
      <c r="F272" s="64">
        <f t="shared" si="125"/>
        <v>0</v>
      </c>
      <c r="G272" s="64">
        <f t="shared" si="125"/>
        <v>0</v>
      </c>
      <c r="H272" s="64">
        <f t="shared" si="125"/>
        <v>0</v>
      </c>
      <c r="I272" s="64">
        <f t="shared" si="125"/>
        <v>0</v>
      </c>
      <c r="J272" s="64">
        <f t="shared" si="125"/>
        <v>0</v>
      </c>
      <c r="K272" s="64">
        <f t="shared" si="125"/>
        <v>0</v>
      </c>
      <c r="L272" s="64">
        <f t="shared" si="125"/>
        <v>0</v>
      </c>
      <c r="M272" s="64">
        <f t="shared" si="125"/>
        <v>0</v>
      </c>
      <c r="N272" s="64">
        <f t="shared" si="125"/>
        <v>-180</v>
      </c>
      <c r="O272" s="64">
        <f t="shared" si="125"/>
        <v>0</v>
      </c>
      <c r="P272" s="64">
        <f t="shared" si="125"/>
        <v>0</v>
      </c>
      <c r="Q272" s="64">
        <f t="shared" si="125"/>
        <v>0</v>
      </c>
      <c r="R272" s="64">
        <f t="shared" si="125"/>
        <v>0</v>
      </c>
    </row>
    <row r="273" spans="1:18" s="21" customFormat="1" ht="33.75" customHeight="1" hidden="1">
      <c r="A273" s="66"/>
      <c r="B273" s="41" t="s">
        <v>3</v>
      </c>
      <c r="C273" s="67" t="s">
        <v>95</v>
      </c>
      <c r="D273" s="68">
        <f>300</f>
        <v>300</v>
      </c>
      <c r="E273" s="64">
        <f>D273+SUM(F273:R273)</f>
        <v>120</v>
      </c>
      <c r="F273" s="64"/>
      <c r="G273" s="64"/>
      <c r="H273" s="65"/>
      <c r="I273" s="65"/>
      <c r="J273" s="64"/>
      <c r="K273" s="64"/>
      <c r="L273" s="64"/>
      <c r="M273" s="64"/>
      <c r="N273" s="64">
        <f>-180</f>
        <v>-180</v>
      </c>
      <c r="O273" s="64"/>
      <c r="P273" s="64"/>
      <c r="Q273" s="64"/>
      <c r="R273" s="64"/>
    </row>
    <row r="274" spans="1:18" s="21" customFormat="1" ht="30.75" customHeight="1" hidden="1">
      <c r="A274" s="82" t="s">
        <v>393</v>
      </c>
      <c r="B274" s="41"/>
      <c r="C274" s="85" t="s">
        <v>140</v>
      </c>
      <c r="D274" s="64">
        <f aca="true" t="shared" si="126" ref="D274:R274">D275+D278+D281+D284+D292</f>
        <v>24476.5</v>
      </c>
      <c r="E274" s="64">
        <f t="shared" si="126"/>
        <v>20551.31345</v>
      </c>
      <c r="F274" s="64">
        <f t="shared" si="126"/>
        <v>0</v>
      </c>
      <c r="G274" s="64">
        <f t="shared" si="126"/>
        <v>-927.528</v>
      </c>
      <c r="H274" s="64">
        <f t="shared" si="126"/>
        <v>-1964.2907400000001</v>
      </c>
      <c r="I274" s="64">
        <f t="shared" si="126"/>
        <v>-833.33333</v>
      </c>
      <c r="J274" s="64">
        <f t="shared" si="126"/>
        <v>0</v>
      </c>
      <c r="K274" s="64">
        <f t="shared" si="126"/>
        <v>0</v>
      </c>
      <c r="L274" s="64">
        <f t="shared" si="126"/>
        <v>0</v>
      </c>
      <c r="M274" s="64">
        <f t="shared" si="126"/>
        <v>-200.03448</v>
      </c>
      <c r="N274" s="64">
        <f t="shared" si="126"/>
        <v>0</v>
      </c>
      <c r="O274" s="64">
        <f t="shared" si="126"/>
        <v>0</v>
      </c>
      <c r="P274" s="64">
        <f>P275+P278+P281+P284+P292</f>
        <v>0</v>
      </c>
      <c r="Q274" s="64">
        <f>Q275+Q278+Q281+Q284+Q292</f>
        <v>0</v>
      </c>
      <c r="R274" s="64">
        <f t="shared" si="126"/>
        <v>0</v>
      </c>
    </row>
    <row r="275" spans="1:18" s="21" customFormat="1" ht="19.5" customHeight="1" hidden="1">
      <c r="A275" s="41" t="s">
        <v>394</v>
      </c>
      <c r="B275" s="41"/>
      <c r="C275" s="83" t="s">
        <v>396</v>
      </c>
      <c r="D275" s="64">
        <f>D276</f>
        <v>9780</v>
      </c>
      <c r="E275" s="64">
        <f aca="true" t="shared" si="127" ref="E275:R276">E276</f>
        <v>9780</v>
      </c>
      <c r="F275" s="64">
        <f t="shared" si="127"/>
        <v>0</v>
      </c>
      <c r="G275" s="64">
        <f t="shared" si="127"/>
        <v>0</v>
      </c>
      <c r="H275" s="64">
        <f t="shared" si="127"/>
        <v>0</v>
      </c>
      <c r="I275" s="64">
        <f t="shared" si="127"/>
        <v>0</v>
      </c>
      <c r="J275" s="64">
        <f t="shared" si="127"/>
        <v>0</v>
      </c>
      <c r="K275" s="64">
        <f t="shared" si="127"/>
        <v>0</v>
      </c>
      <c r="L275" s="64">
        <f t="shared" si="127"/>
        <v>0</v>
      </c>
      <c r="M275" s="64">
        <f t="shared" si="127"/>
        <v>0</v>
      </c>
      <c r="N275" s="64">
        <f t="shared" si="127"/>
        <v>0</v>
      </c>
      <c r="O275" s="64">
        <f t="shared" si="127"/>
        <v>0</v>
      </c>
      <c r="P275" s="64">
        <f t="shared" si="127"/>
        <v>0</v>
      </c>
      <c r="Q275" s="64">
        <f t="shared" si="127"/>
        <v>0</v>
      </c>
      <c r="R275" s="64">
        <f t="shared" si="127"/>
        <v>0</v>
      </c>
    </row>
    <row r="276" spans="1:18" s="21" customFormat="1" ht="33" customHeight="1" hidden="1">
      <c r="A276" s="41" t="s">
        <v>395</v>
      </c>
      <c r="B276" s="41"/>
      <c r="C276" s="83" t="s">
        <v>397</v>
      </c>
      <c r="D276" s="64">
        <f>D277</f>
        <v>9780</v>
      </c>
      <c r="E276" s="64">
        <f t="shared" si="127"/>
        <v>9780</v>
      </c>
      <c r="F276" s="64">
        <f t="shared" si="127"/>
        <v>0</v>
      </c>
      <c r="G276" s="64">
        <f t="shared" si="127"/>
        <v>0</v>
      </c>
      <c r="H276" s="64">
        <f t="shared" si="127"/>
        <v>0</v>
      </c>
      <c r="I276" s="64">
        <f t="shared" si="127"/>
        <v>0</v>
      </c>
      <c r="J276" s="64">
        <f t="shared" si="127"/>
        <v>0</v>
      </c>
      <c r="K276" s="64">
        <f t="shared" si="127"/>
        <v>0</v>
      </c>
      <c r="L276" s="64">
        <f t="shared" si="127"/>
        <v>0</v>
      </c>
      <c r="M276" s="64">
        <f t="shared" si="127"/>
        <v>0</v>
      </c>
      <c r="N276" s="64">
        <f t="shared" si="127"/>
        <v>0</v>
      </c>
      <c r="O276" s="64">
        <f t="shared" si="127"/>
        <v>0</v>
      </c>
      <c r="P276" s="64">
        <f t="shared" si="127"/>
        <v>0</v>
      </c>
      <c r="Q276" s="64">
        <f t="shared" si="127"/>
        <v>0</v>
      </c>
      <c r="R276" s="64">
        <f t="shared" si="127"/>
        <v>0</v>
      </c>
    </row>
    <row r="277" spans="1:18" s="21" customFormat="1" ht="27.75" customHeight="1" hidden="1">
      <c r="A277" s="63"/>
      <c r="B277" s="41" t="s">
        <v>3</v>
      </c>
      <c r="C277" s="67" t="s">
        <v>95</v>
      </c>
      <c r="D277" s="64">
        <f>9780</f>
        <v>9780</v>
      </c>
      <c r="E277" s="64">
        <f>D277+SUM(F277:R277)</f>
        <v>9780</v>
      </c>
      <c r="F277" s="64"/>
      <c r="G277" s="64"/>
      <c r="H277" s="65"/>
      <c r="I277" s="65"/>
      <c r="J277" s="64"/>
      <c r="K277" s="64"/>
      <c r="L277" s="64"/>
      <c r="M277" s="64"/>
      <c r="N277" s="64"/>
      <c r="O277" s="64"/>
      <c r="P277" s="64"/>
      <c r="Q277" s="64"/>
      <c r="R277" s="64"/>
    </row>
    <row r="278" spans="1:18" s="21" customFormat="1" ht="16.5" customHeight="1" hidden="1">
      <c r="A278" s="66" t="s">
        <v>398</v>
      </c>
      <c r="B278" s="41"/>
      <c r="C278" s="83" t="s">
        <v>400</v>
      </c>
      <c r="D278" s="68">
        <f>D279</f>
        <v>10724.5</v>
      </c>
      <c r="E278" s="68">
        <f aca="true" t="shared" si="128" ref="E278:R279">E279</f>
        <v>6799.34793</v>
      </c>
      <c r="F278" s="68">
        <f t="shared" si="128"/>
        <v>0</v>
      </c>
      <c r="G278" s="68">
        <f t="shared" si="128"/>
        <v>-1127.528</v>
      </c>
      <c r="H278" s="68">
        <f t="shared" si="128"/>
        <v>-1964.2907400000001</v>
      </c>
      <c r="I278" s="68">
        <f t="shared" si="128"/>
        <v>-833.33333</v>
      </c>
      <c r="J278" s="68">
        <f t="shared" si="128"/>
        <v>0</v>
      </c>
      <c r="K278" s="68">
        <f t="shared" si="128"/>
        <v>0</v>
      </c>
      <c r="L278" s="68">
        <f t="shared" si="128"/>
        <v>0</v>
      </c>
      <c r="M278" s="68">
        <f t="shared" si="128"/>
        <v>0</v>
      </c>
      <c r="N278" s="68">
        <f t="shared" si="128"/>
        <v>0</v>
      </c>
      <c r="O278" s="68">
        <f t="shared" si="128"/>
        <v>0</v>
      </c>
      <c r="P278" s="68">
        <f t="shared" si="128"/>
        <v>0</v>
      </c>
      <c r="Q278" s="68">
        <f t="shared" si="128"/>
        <v>0</v>
      </c>
      <c r="R278" s="68">
        <f t="shared" si="128"/>
        <v>0</v>
      </c>
    </row>
    <row r="279" spans="1:18" s="21" customFormat="1" ht="31.5" customHeight="1" hidden="1">
      <c r="A279" s="66" t="s">
        <v>399</v>
      </c>
      <c r="B279" s="41"/>
      <c r="C279" s="83" t="s">
        <v>397</v>
      </c>
      <c r="D279" s="68">
        <f>D280</f>
        <v>10724.5</v>
      </c>
      <c r="E279" s="68">
        <f t="shared" si="128"/>
        <v>6799.34793</v>
      </c>
      <c r="F279" s="68">
        <f t="shared" si="128"/>
        <v>0</v>
      </c>
      <c r="G279" s="68">
        <f t="shared" si="128"/>
        <v>-1127.528</v>
      </c>
      <c r="H279" s="68">
        <f t="shared" si="128"/>
        <v>-1964.2907400000001</v>
      </c>
      <c r="I279" s="68">
        <f t="shared" si="128"/>
        <v>-833.33333</v>
      </c>
      <c r="J279" s="68">
        <f t="shared" si="128"/>
        <v>0</v>
      </c>
      <c r="K279" s="68">
        <f t="shared" si="128"/>
        <v>0</v>
      </c>
      <c r="L279" s="68">
        <f t="shared" si="128"/>
        <v>0</v>
      </c>
      <c r="M279" s="68">
        <f t="shared" si="128"/>
        <v>0</v>
      </c>
      <c r="N279" s="68">
        <f t="shared" si="128"/>
        <v>0</v>
      </c>
      <c r="O279" s="68">
        <f t="shared" si="128"/>
        <v>0</v>
      </c>
      <c r="P279" s="68">
        <f t="shared" si="128"/>
        <v>0</v>
      </c>
      <c r="Q279" s="68">
        <f t="shared" si="128"/>
        <v>0</v>
      </c>
      <c r="R279" s="68">
        <f t="shared" si="128"/>
        <v>0</v>
      </c>
    </row>
    <row r="280" spans="1:18" s="21" customFormat="1" ht="25.5" hidden="1">
      <c r="A280" s="66"/>
      <c r="B280" s="41" t="s">
        <v>3</v>
      </c>
      <c r="C280" s="67" t="s">
        <v>95</v>
      </c>
      <c r="D280" s="64">
        <f>9576.2+148.3+1000</f>
        <v>10724.5</v>
      </c>
      <c r="E280" s="64">
        <f>D280+SUM(F280:R280)</f>
        <v>6799.34793</v>
      </c>
      <c r="F280" s="64"/>
      <c r="G280" s="64">
        <v>-1127.528</v>
      </c>
      <c r="H280" s="65">
        <f>-1938.94-15-10.35074</f>
        <v>-1964.2907400000001</v>
      </c>
      <c r="I280" s="65">
        <v>-833.33333</v>
      </c>
      <c r="J280" s="64"/>
      <c r="K280" s="64"/>
      <c r="L280" s="64"/>
      <c r="M280" s="64"/>
      <c r="N280" s="64"/>
      <c r="O280" s="64"/>
      <c r="P280" s="64"/>
      <c r="Q280" s="64"/>
      <c r="R280" s="64"/>
    </row>
    <row r="281" spans="1:18" s="21" customFormat="1" ht="30.75" customHeight="1" hidden="1">
      <c r="A281" s="66" t="s">
        <v>401</v>
      </c>
      <c r="B281" s="41"/>
      <c r="C281" s="83" t="s">
        <v>403</v>
      </c>
      <c r="D281" s="64">
        <f>D282</f>
        <v>100</v>
      </c>
      <c r="E281" s="64">
        <f aca="true" t="shared" si="129" ref="E281:R282">E282</f>
        <v>100</v>
      </c>
      <c r="F281" s="64">
        <f t="shared" si="129"/>
        <v>0</v>
      </c>
      <c r="G281" s="64">
        <f t="shared" si="129"/>
        <v>0</v>
      </c>
      <c r="H281" s="64">
        <f t="shared" si="129"/>
        <v>0</v>
      </c>
      <c r="I281" s="64">
        <f t="shared" si="129"/>
        <v>0</v>
      </c>
      <c r="J281" s="64">
        <f t="shared" si="129"/>
        <v>0</v>
      </c>
      <c r="K281" s="64">
        <f t="shared" si="129"/>
        <v>0</v>
      </c>
      <c r="L281" s="64">
        <f t="shared" si="129"/>
        <v>0</v>
      </c>
      <c r="M281" s="64">
        <f t="shared" si="129"/>
        <v>0</v>
      </c>
      <c r="N281" s="64">
        <f t="shared" si="129"/>
        <v>0</v>
      </c>
      <c r="O281" s="64">
        <f t="shared" si="129"/>
        <v>0</v>
      </c>
      <c r="P281" s="64">
        <f t="shared" si="129"/>
        <v>0</v>
      </c>
      <c r="Q281" s="64">
        <f t="shared" si="129"/>
        <v>0</v>
      </c>
      <c r="R281" s="64">
        <f t="shared" si="129"/>
        <v>0</v>
      </c>
    </row>
    <row r="282" spans="1:18" s="21" customFormat="1" ht="30.75" customHeight="1" hidden="1">
      <c r="A282" s="66" t="s">
        <v>402</v>
      </c>
      <c r="B282" s="41"/>
      <c r="C282" s="83" t="s">
        <v>397</v>
      </c>
      <c r="D282" s="64">
        <f>D283</f>
        <v>100</v>
      </c>
      <c r="E282" s="64">
        <f t="shared" si="129"/>
        <v>100</v>
      </c>
      <c r="F282" s="64">
        <f t="shared" si="129"/>
        <v>0</v>
      </c>
      <c r="G282" s="64">
        <f t="shared" si="129"/>
        <v>0</v>
      </c>
      <c r="H282" s="64">
        <f t="shared" si="129"/>
        <v>0</v>
      </c>
      <c r="I282" s="64">
        <f t="shared" si="129"/>
        <v>0</v>
      </c>
      <c r="J282" s="64">
        <f t="shared" si="129"/>
        <v>0</v>
      </c>
      <c r="K282" s="64">
        <f t="shared" si="129"/>
        <v>0</v>
      </c>
      <c r="L282" s="64">
        <f t="shared" si="129"/>
        <v>0</v>
      </c>
      <c r="M282" s="64">
        <f t="shared" si="129"/>
        <v>0</v>
      </c>
      <c r="N282" s="64">
        <f t="shared" si="129"/>
        <v>0</v>
      </c>
      <c r="O282" s="64">
        <f t="shared" si="129"/>
        <v>0</v>
      </c>
      <c r="P282" s="64">
        <f t="shared" si="129"/>
        <v>0</v>
      </c>
      <c r="Q282" s="64">
        <f t="shared" si="129"/>
        <v>0</v>
      </c>
      <c r="R282" s="64">
        <f t="shared" si="129"/>
        <v>0</v>
      </c>
    </row>
    <row r="283" spans="1:18" s="21" customFormat="1" ht="27" customHeight="1" hidden="1">
      <c r="A283" s="66"/>
      <c r="B283" s="41" t="s">
        <v>3</v>
      </c>
      <c r="C283" s="67" t="s">
        <v>95</v>
      </c>
      <c r="D283" s="68">
        <f>100</f>
        <v>100</v>
      </c>
      <c r="E283" s="64">
        <f>D283+SUM(F283:R283)</f>
        <v>100</v>
      </c>
      <c r="F283" s="64"/>
      <c r="G283" s="64"/>
      <c r="H283" s="65"/>
      <c r="I283" s="65"/>
      <c r="J283" s="64"/>
      <c r="K283" s="78"/>
      <c r="L283" s="64"/>
      <c r="M283" s="64"/>
      <c r="N283" s="64"/>
      <c r="O283" s="64"/>
      <c r="P283" s="64"/>
      <c r="Q283" s="64"/>
      <c r="R283" s="64"/>
    </row>
    <row r="284" spans="1:18" s="21" customFormat="1" ht="12.75" hidden="1">
      <c r="A284" s="66" t="s">
        <v>404</v>
      </c>
      <c r="B284" s="41"/>
      <c r="C284" s="83" t="s">
        <v>406</v>
      </c>
      <c r="D284" s="68">
        <f aca="true" t="shared" si="130" ref="D284:J284">D285+D287+D289</f>
        <v>3792</v>
      </c>
      <c r="E284" s="68">
        <f t="shared" si="130"/>
        <v>3791.96552</v>
      </c>
      <c r="F284" s="68">
        <f t="shared" si="130"/>
        <v>0</v>
      </c>
      <c r="G284" s="68">
        <f t="shared" si="130"/>
        <v>200</v>
      </c>
      <c r="H284" s="68">
        <f t="shared" si="130"/>
        <v>0</v>
      </c>
      <c r="I284" s="68">
        <f t="shared" si="130"/>
        <v>0</v>
      </c>
      <c r="J284" s="68">
        <f t="shared" si="130"/>
        <v>0</v>
      </c>
      <c r="K284" s="68">
        <f aca="true" t="shared" si="131" ref="E284:R285">K285</f>
        <v>0</v>
      </c>
      <c r="L284" s="68">
        <f t="shared" si="131"/>
        <v>0</v>
      </c>
      <c r="M284" s="68">
        <f t="shared" si="131"/>
        <v>-200.03448</v>
      </c>
      <c r="N284" s="68">
        <f t="shared" si="131"/>
        <v>0</v>
      </c>
      <c r="O284" s="68">
        <f t="shared" si="131"/>
        <v>0</v>
      </c>
      <c r="P284" s="68">
        <f t="shared" si="131"/>
        <v>0</v>
      </c>
      <c r="Q284" s="68">
        <f t="shared" si="131"/>
        <v>0</v>
      </c>
      <c r="R284" s="68">
        <f t="shared" si="131"/>
        <v>0</v>
      </c>
    </row>
    <row r="285" spans="1:18" s="21" customFormat="1" ht="25.5" hidden="1">
      <c r="A285" s="66" t="s">
        <v>405</v>
      </c>
      <c r="B285" s="41"/>
      <c r="C285" s="83" t="s">
        <v>397</v>
      </c>
      <c r="D285" s="68">
        <f>D286</f>
        <v>3792</v>
      </c>
      <c r="E285" s="68">
        <f t="shared" si="131"/>
        <v>3791.96552</v>
      </c>
      <c r="F285" s="68">
        <f t="shared" si="131"/>
        <v>0</v>
      </c>
      <c r="G285" s="68">
        <f t="shared" si="131"/>
        <v>200</v>
      </c>
      <c r="H285" s="68">
        <f t="shared" si="131"/>
        <v>0</v>
      </c>
      <c r="I285" s="68">
        <f t="shared" si="131"/>
        <v>0</v>
      </c>
      <c r="J285" s="68">
        <f t="shared" si="131"/>
        <v>0</v>
      </c>
      <c r="K285" s="68">
        <f t="shared" si="131"/>
        <v>0</v>
      </c>
      <c r="L285" s="68">
        <f t="shared" si="131"/>
        <v>0</v>
      </c>
      <c r="M285" s="68">
        <f t="shared" si="131"/>
        <v>-200.03448</v>
      </c>
      <c r="N285" s="68">
        <f t="shared" si="131"/>
        <v>0</v>
      </c>
      <c r="O285" s="68">
        <f t="shared" si="131"/>
        <v>0</v>
      </c>
      <c r="P285" s="68">
        <f t="shared" si="131"/>
        <v>0</v>
      </c>
      <c r="Q285" s="68">
        <f t="shared" si="131"/>
        <v>0</v>
      </c>
      <c r="R285" s="68">
        <f t="shared" si="131"/>
        <v>0</v>
      </c>
    </row>
    <row r="286" spans="1:18" s="21" customFormat="1" ht="25.5" hidden="1">
      <c r="A286" s="66"/>
      <c r="B286" s="41" t="s">
        <v>3</v>
      </c>
      <c r="C286" s="67" t="s">
        <v>95</v>
      </c>
      <c r="D286" s="68">
        <f>3792</f>
        <v>3792</v>
      </c>
      <c r="E286" s="64">
        <f>D286+SUM(F286:R286)</f>
        <v>3791.96552</v>
      </c>
      <c r="F286" s="68"/>
      <c r="G286" s="68">
        <v>200</v>
      </c>
      <c r="H286" s="69"/>
      <c r="I286" s="69"/>
      <c r="J286" s="68"/>
      <c r="K286" s="68"/>
      <c r="L286" s="68"/>
      <c r="M286" s="70">
        <f>-200.01448-0.02</f>
        <v>-200.03448</v>
      </c>
      <c r="N286" s="68"/>
      <c r="O286" s="68"/>
      <c r="P286" s="68"/>
      <c r="Q286" s="68"/>
      <c r="R286" s="68"/>
    </row>
    <row r="287" spans="1:18" s="21" customFormat="1" ht="51" hidden="1">
      <c r="A287" s="66" t="s">
        <v>472</v>
      </c>
      <c r="B287" s="41"/>
      <c r="C287" s="67" t="s">
        <v>474</v>
      </c>
      <c r="D287" s="68">
        <f>D288</f>
        <v>0</v>
      </c>
      <c r="E287" s="68">
        <f aca="true" t="shared" si="132" ref="E287:R287">E288</f>
        <v>0</v>
      </c>
      <c r="F287" s="68">
        <f t="shared" si="132"/>
        <v>0</v>
      </c>
      <c r="G287" s="68">
        <f t="shared" si="132"/>
        <v>0</v>
      </c>
      <c r="H287" s="68">
        <f t="shared" si="132"/>
        <v>0</v>
      </c>
      <c r="I287" s="68">
        <f t="shared" si="132"/>
        <v>0</v>
      </c>
      <c r="J287" s="68">
        <f t="shared" si="132"/>
        <v>0</v>
      </c>
      <c r="K287" s="68">
        <f t="shared" si="132"/>
        <v>0</v>
      </c>
      <c r="L287" s="68">
        <f t="shared" si="132"/>
        <v>0</v>
      </c>
      <c r="M287" s="68">
        <f t="shared" si="132"/>
        <v>0</v>
      </c>
      <c r="N287" s="68">
        <f t="shared" si="132"/>
        <v>0</v>
      </c>
      <c r="O287" s="68">
        <f t="shared" si="132"/>
        <v>0</v>
      </c>
      <c r="P287" s="68">
        <f t="shared" si="132"/>
        <v>0</v>
      </c>
      <c r="Q287" s="68">
        <f t="shared" si="132"/>
        <v>0</v>
      </c>
      <c r="R287" s="68">
        <f t="shared" si="132"/>
        <v>0</v>
      </c>
    </row>
    <row r="288" spans="1:18" s="21" customFormat="1" ht="25.5" hidden="1">
      <c r="A288" s="66"/>
      <c r="B288" s="41" t="s">
        <v>3</v>
      </c>
      <c r="C288" s="67" t="s">
        <v>95</v>
      </c>
      <c r="D288" s="68"/>
      <c r="E288" s="64">
        <f>D288+SUM(F288:R288)</f>
        <v>0</v>
      </c>
      <c r="F288" s="68"/>
      <c r="G288" s="68"/>
      <c r="H288" s="69"/>
      <c r="I288" s="69"/>
      <c r="J288" s="68"/>
      <c r="K288" s="68"/>
      <c r="L288" s="68"/>
      <c r="M288" s="68"/>
      <c r="N288" s="68"/>
      <c r="O288" s="68"/>
      <c r="P288" s="68"/>
      <c r="Q288" s="68"/>
      <c r="R288" s="68"/>
    </row>
    <row r="289" spans="1:18" s="21" customFormat="1" ht="63.75" hidden="1">
      <c r="A289" s="66" t="s">
        <v>471</v>
      </c>
      <c r="B289" s="41"/>
      <c r="C289" s="67" t="s">
        <v>473</v>
      </c>
      <c r="D289" s="68">
        <f>D291+D290</f>
        <v>0</v>
      </c>
      <c r="E289" s="68">
        <f aca="true" t="shared" si="133" ref="E289:M289">E291+E290</f>
        <v>0</v>
      </c>
      <c r="F289" s="68">
        <f t="shared" si="133"/>
        <v>0</v>
      </c>
      <c r="G289" s="68">
        <f t="shared" si="133"/>
        <v>0</v>
      </c>
      <c r="H289" s="68">
        <f t="shared" si="133"/>
        <v>0</v>
      </c>
      <c r="I289" s="68">
        <f t="shared" si="133"/>
        <v>0</v>
      </c>
      <c r="J289" s="68">
        <f t="shared" si="133"/>
        <v>0</v>
      </c>
      <c r="K289" s="68">
        <f t="shared" si="133"/>
        <v>0</v>
      </c>
      <c r="L289" s="68">
        <f t="shared" si="133"/>
        <v>0</v>
      </c>
      <c r="M289" s="68">
        <f t="shared" si="133"/>
        <v>0</v>
      </c>
      <c r="N289" s="68">
        <f>N291+N290</f>
        <v>0</v>
      </c>
      <c r="O289" s="68">
        <f>O291+O290</f>
        <v>0</v>
      </c>
      <c r="P289" s="68">
        <f>P291+P290</f>
        <v>0</v>
      </c>
      <c r="Q289" s="68">
        <f>Q291+Q290</f>
        <v>0</v>
      </c>
      <c r="R289" s="68">
        <f>R291+R290</f>
        <v>0</v>
      </c>
    </row>
    <row r="290" spans="1:18" s="21" customFormat="1" ht="51" hidden="1">
      <c r="A290" s="66"/>
      <c r="B290" s="41" t="s">
        <v>2</v>
      </c>
      <c r="C290" s="67" t="s">
        <v>94</v>
      </c>
      <c r="D290" s="68"/>
      <c r="E290" s="64">
        <f>D290+SUM(F290:R290)</f>
        <v>0</v>
      </c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</row>
    <row r="291" spans="1:18" s="21" customFormat="1" ht="25.5" hidden="1">
      <c r="A291" s="66"/>
      <c r="B291" s="41" t="s">
        <v>3</v>
      </c>
      <c r="C291" s="67" t="s">
        <v>95</v>
      </c>
      <c r="D291" s="68"/>
      <c r="E291" s="64">
        <f>D291+SUM(F291:R291)</f>
        <v>0</v>
      </c>
      <c r="F291" s="68"/>
      <c r="G291" s="68"/>
      <c r="H291" s="69"/>
      <c r="I291" s="69"/>
      <c r="J291" s="68"/>
      <c r="K291" s="68"/>
      <c r="L291" s="68"/>
      <c r="M291" s="68"/>
      <c r="N291" s="68"/>
      <c r="O291" s="68"/>
      <c r="P291" s="68"/>
      <c r="Q291" s="68"/>
      <c r="R291" s="68"/>
    </row>
    <row r="292" spans="1:18" s="21" customFormat="1" ht="38.25" hidden="1">
      <c r="A292" s="66" t="s">
        <v>407</v>
      </c>
      <c r="B292" s="41"/>
      <c r="C292" s="83" t="s">
        <v>409</v>
      </c>
      <c r="D292" s="68">
        <f>D293</f>
        <v>80</v>
      </c>
      <c r="E292" s="68">
        <f aca="true" t="shared" si="134" ref="E292:R293">E293</f>
        <v>80</v>
      </c>
      <c r="F292" s="68">
        <f t="shared" si="134"/>
        <v>0</v>
      </c>
      <c r="G292" s="68">
        <f t="shared" si="134"/>
        <v>0</v>
      </c>
      <c r="H292" s="68">
        <f t="shared" si="134"/>
        <v>0</v>
      </c>
      <c r="I292" s="68">
        <f t="shared" si="134"/>
        <v>0</v>
      </c>
      <c r="J292" s="68">
        <f t="shared" si="134"/>
        <v>0</v>
      </c>
      <c r="K292" s="68">
        <f t="shared" si="134"/>
        <v>0</v>
      </c>
      <c r="L292" s="68">
        <f t="shared" si="134"/>
        <v>0</v>
      </c>
      <c r="M292" s="68">
        <f t="shared" si="134"/>
        <v>0</v>
      </c>
      <c r="N292" s="68">
        <f t="shared" si="134"/>
        <v>0</v>
      </c>
      <c r="O292" s="68">
        <f t="shared" si="134"/>
        <v>0</v>
      </c>
      <c r="P292" s="68">
        <f t="shared" si="134"/>
        <v>0</v>
      </c>
      <c r="Q292" s="68">
        <f t="shared" si="134"/>
        <v>0</v>
      </c>
      <c r="R292" s="68">
        <f t="shared" si="134"/>
        <v>0</v>
      </c>
    </row>
    <row r="293" spans="1:18" s="21" customFormat="1" ht="25.5" hidden="1">
      <c r="A293" s="66" t="s">
        <v>408</v>
      </c>
      <c r="B293" s="41"/>
      <c r="C293" s="83" t="s">
        <v>397</v>
      </c>
      <c r="D293" s="68">
        <f>D294</f>
        <v>80</v>
      </c>
      <c r="E293" s="68">
        <f t="shared" si="134"/>
        <v>80</v>
      </c>
      <c r="F293" s="68">
        <f t="shared" si="134"/>
        <v>0</v>
      </c>
      <c r="G293" s="68">
        <f t="shared" si="134"/>
        <v>0</v>
      </c>
      <c r="H293" s="68">
        <f t="shared" si="134"/>
        <v>0</v>
      </c>
      <c r="I293" s="68">
        <f t="shared" si="134"/>
        <v>0</v>
      </c>
      <c r="J293" s="68">
        <f t="shared" si="134"/>
        <v>0</v>
      </c>
      <c r="K293" s="68">
        <f t="shared" si="134"/>
        <v>0</v>
      </c>
      <c r="L293" s="68">
        <f t="shared" si="134"/>
        <v>0</v>
      </c>
      <c r="M293" s="68">
        <f t="shared" si="134"/>
        <v>0</v>
      </c>
      <c r="N293" s="68">
        <f t="shared" si="134"/>
        <v>0</v>
      </c>
      <c r="O293" s="68">
        <f t="shared" si="134"/>
        <v>0</v>
      </c>
      <c r="P293" s="68">
        <f t="shared" si="134"/>
        <v>0</v>
      </c>
      <c r="Q293" s="68">
        <f t="shared" si="134"/>
        <v>0</v>
      </c>
      <c r="R293" s="68">
        <f t="shared" si="134"/>
        <v>0</v>
      </c>
    </row>
    <row r="294" spans="1:18" s="21" customFormat="1" ht="25.5" hidden="1">
      <c r="A294" s="66"/>
      <c r="B294" s="41" t="s">
        <v>3</v>
      </c>
      <c r="C294" s="67" t="s">
        <v>95</v>
      </c>
      <c r="D294" s="68">
        <f>80</f>
        <v>80</v>
      </c>
      <c r="E294" s="64">
        <f>D294+SUM(F294:R294)</f>
        <v>80</v>
      </c>
      <c r="F294" s="68"/>
      <c r="G294" s="68"/>
      <c r="H294" s="69"/>
      <c r="I294" s="69"/>
      <c r="J294" s="68"/>
      <c r="K294" s="70"/>
      <c r="L294" s="68"/>
      <c r="M294" s="68"/>
      <c r="N294" s="68"/>
      <c r="O294" s="68"/>
      <c r="P294" s="68"/>
      <c r="Q294" s="68"/>
      <c r="R294" s="68"/>
    </row>
    <row r="295" spans="1:18" s="21" customFormat="1" ht="38.25" hidden="1">
      <c r="A295" s="82" t="s">
        <v>410</v>
      </c>
      <c r="B295" s="41"/>
      <c r="C295" s="85" t="s">
        <v>141</v>
      </c>
      <c r="D295" s="68">
        <f>D296</f>
        <v>7407.900000000001</v>
      </c>
      <c r="E295" s="68">
        <f aca="true" t="shared" si="135" ref="E295:R296">E296</f>
        <v>7582.500000000001</v>
      </c>
      <c r="F295" s="68">
        <f t="shared" si="135"/>
        <v>0</v>
      </c>
      <c r="G295" s="68">
        <f t="shared" si="135"/>
        <v>0</v>
      </c>
      <c r="H295" s="68">
        <f t="shared" si="135"/>
        <v>12.6</v>
      </c>
      <c r="I295" s="68">
        <f t="shared" si="135"/>
        <v>0</v>
      </c>
      <c r="J295" s="68">
        <f t="shared" si="135"/>
        <v>20</v>
      </c>
      <c r="K295" s="68">
        <f t="shared" si="135"/>
        <v>0</v>
      </c>
      <c r="L295" s="68">
        <f t="shared" si="135"/>
        <v>0</v>
      </c>
      <c r="M295" s="68">
        <f t="shared" si="135"/>
        <v>0</v>
      </c>
      <c r="N295" s="68">
        <f t="shared" si="135"/>
        <v>0</v>
      </c>
      <c r="O295" s="68">
        <f t="shared" si="135"/>
        <v>142</v>
      </c>
      <c r="P295" s="68">
        <f t="shared" si="135"/>
        <v>0</v>
      </c>
      <c r="Q295" s="68">
        <f t="shared" si="135"/>
        <v>0</v>
      </c>
      <c r="R295" s="68">
        <f t="shared" si="135"/>
        <v>0</v>
      </c>
    </row>
    <row r="296" spans="1:18" s="21" customFormat="1" ht="25.5" hidden="1">
      <c r="A296" s="66" t="s">
        <v>411</v>
      </c>
      <c r="B296" s="41"/>
      <c r="C296" s="57" t="s">
        <v>338</v>
      </c>
      <c r="D296" s="68">
        <f>D297</f>
        <v>7407.900000000001</v>
      </c>
      <c r="E296" s="68">
        <f t="shared" si="135"/>
        <v>7582.500000000001</v>
      </c>
      <c r="F296" s="68">
        <f t="shared" si="135"/>
        <v>0</v>
      </c>
      <c r="G296" s="68">
        <f t="shared" si="135"/>
        <v>0</v>
      </c>
      <c r="H296" s="68">
        <f t="shared" si="135"/>
        <v>12.6</v>
      </c>
      <c r="I296" s="68">
        <f t="shared" si="135"/>
        <v>0</v>
      </c>
      <c r="J296" s="68">
        <f t="shared" si="135"/>
        <v>20</v>
      </c>
      <c r="K296" s="68">
        <f t="shared" si="135"/>
        <v>0</v>
      </c>
      <c r="L296" s="68">
        <f t="shared" si="135"/>
        <v>0</v>
      </c>
      <c r="M296" s="68">
        <f t="shared" si="135"/>
        <v>0</v>
      </c>
      <c r="N296" s="68">
        <f t="shared" si="135"/>
        <v>0</v>
      </c>
      <c r="O296" s="68">
        <f t="shared" si="135"/>
        <v>142</v>
      </c>
      <c r="P296" s="68">
        <f t="shared" si="135"/>
        <v>0</v>
      </c>
      <c r="Q296" s="68">
        <f t="shared" si="135"/>
        <v>0</v>
      </c>
      <c r="R296" s="68">
        <f t="shared" si="135"/>
        <v>0</v>
      </c>
    </row>
    <row r="297" spans="1:18" s="21" customFormat="1" ht="25.5" hidden="1">
      <c r="A297" s="66" t="s">
        <v>412</v>
      </c>
      <c r="B297" s="41"/>
      <c r="C297" s="57" t="s">
        <v>278</v>
      </c>
      <c r="D297" s="68">
        <f>D298+D299+D300</f>
        <v>7407.900000000001</v>
      </c>
      <c r="E297" s="68">
        <f aca="true" t="shared" si="136" ref="E297:R297">E298+E299+E300</f>
        <v>7582.500000000001</v>
      </c>
      <c r="F297" s="68">
        <f t="shared" si="136"/>
        <v>0</v>
      </c>
      <c r="G297" s="68">
        <f t="shared" si="136"/>
        <v>0</v>
      </c>
      <c r="H297" s="68">
        <f t="shared" si="136"/>
        <v>12.6</v>
      </c>
      <c r="I297" s="68">
        <f t="shared" si="136"/>
        <v>0</v>
      </c>
      <c r="J297" s="68">
        <f t="shared" si="136"/>
        <v>20</v>
      </c>
      <c r="K297" s="68">
        <f t="shared" si="136"/>
        <v>0</v>
      </c>
      <c r="L297" s="68">
        <f t="shared" si="136"/>
        <v>0</v>
      </c>
      <c r="M297" s="68">
        <f t="shared" si="136"/>
        <v>0</v>
      </c>
      <c r="N297" s="68">
        <f t="shared" si="136"/>
        <v>0</v>
      </c>
      <c r="O297" s="68">
        <f t="shared" si="136"/>
        <v>142</v>
      </c>
      <c r="P297" s="68">
        <f>P298+P299+P300</f>
        <v>0</v>
      </c>
      <c r="Q297" s="68">
        <f>Q298+Q299+Q300</f>
        <v>0</v>
      </c>
      <c r="R297" s="68">
        <f t="shared" si="136"/>
        <v>0</v>
      </c>
    </row>
    <row r="298" spans="1:18" s="21" customFormat="1" ht="51" hidden="1">
      <c r="A298" s="66"/>
      <c r="B298" s="41" t="s">
        <v>2</v>
      </c>
      <c r="C298" s="67" t="s">
        <v>94</v>
      </c>
      <c r="D298" s="68">
        <f>6489.1</f>
        <v>6489.1</v>
      </c>
      <c r="E298" s="64">
        <f>D298+SUM(F298:R298)</f>
        <v>6578.700000000001</v>
      </c>
      <c r="F298" s="68"/>
      <c r="G298" s="68"/>
      <c r="H298" s="69">
        <f>12.6</f>
        <v>12.6</v>
      </c>
      <c r="I298" s="69"/>
      <c r="J298" s="68"/>
      <c r="K298" s="68"/>
      <c r="L298" s="68"/>
      <c r="M298" s="68"/>
      <c r="N298" s="68"/>
      <c r="O298" s="68">
        <v>77</v>
      </c>
      <c r="P298" s="68"/>
      <c r="Q298" s="68"/>
      <c r="R298" s="68"/>
    </row>
    <row r="299" spans="1:18" s="21" customFormat="1" ht="25.5" hidden="1">
      <c r="A299" s="63"/>
      <c r="B299" s="41" t="s">
        <v>3</v>
      </c>
      <c r="C299" s="67" t="s">
        <v>95</v>
      </c>
      <c r="D299" s="68">
        <f>904.6</f>
        <v>904.6</v>
      </c>
      <c r="E299" s="64">
        <f>D299+SUM(F299:R299)</f>
        <v>904.6</v>
      </c>
      <c r="F299" s="68"/>
      <c r="G299" s="68"/>
      <c r="H299" s="69"/>
      <c r="I299" s="69"/>
      <c r="J299" s="68"/>
      <c r="K299" s="68"/>
      <c r="L299" s="68"/>
      <c r="M299" s="68"/>
      <c r="N299" s="68"/>
      <c r="O299" s="68"/>
      <c r="P299" s="68"/>
      <c r="Q299" s="68"/>
      <c r="R299" s="68"/>
    </row>
    <row r="300" spans="1:18" s="21" customFormat="1" ht="12.75" hidden="1">
      <c r="A300" s="66"/>
      <c r="B300" s="41" t="s">
        <v>4</v>
      </c>
      <c r="C300" s="67" t="s">
        <v>5</v>
      </c>
      <c r="D300" s="68">
        <f>14.2</f>
        <v>14.2</v>
      </c>
      <c r="E300" s="64">
        <f>D300+SUM(F300:R300)</f>
        <v>99.2</v>
      </c>
      <c r="F300" s="68"/>
      <c r="G300" s="68"/>
      <c r="H300" s="69"/>
      <c r="I300" s="69"/>
      <c r="J300" s="68">
        <v>20</v>
      </c>
      <c r="K300" s="70"/>
      <c r="L300" s="68"/>
      <c r="M300" s="68"/>
      <c r="N300" s="68"/>
      <c r="O300" s="68">
        <v>65</v>
      </c>
      <c r="P300" s="68"/>
      <c r="Q300" s="68"/>
      <c r="R300" s="68"/>
    </row>
    <row r="301" spans="1:18" s="21" customFormat="1" ht="12.75" hidden="1">
      <c r="A301" s="82" t="s">
        <v>413</v>
      </c>
      <c r="B301" s="99"/>
      <c r="C301" s="103" t="s">
        <v>416</v>
      </c>
      <c r="D301" s="68">
        <f>D302</f>
        <v>593.2</v>
      </c>
      <c r="E301" s="68">
        <f aca="true" t="shared" si="137" ref="E301:R302">E302</f>
        <v>1049.9693700000003</v>
      </c>
      <c r="F301" s="68">
        <f t="shared" si="137"/>
        <v>0</v>
      </c>
      <c r="G301" s="68">
        <f t="shared" si="137"/>
        <v>0</v>
      </c>
      <c r="H301" s="68">
        <f t="shared" si="137"/>
        <v>0</v>
      </c>
      <c r="I301" s="68">
        <f t="shared" si="137"/>
        <v>833.33333</v>
      </c>
      <c r="J301" s="68">
        <f t="shared" si="137"/>
        <v>-64.9</v>
      </c>
      <c r="K301" s="68">
        <f t="shared" si="137"/>
        <v>-224.16396</v>
      </c>
      <c r="L301" s="68">
        <f t="shared" si="137"/>
        <v>0</v>
      </c>
      <c r="M301" s="68">
        <f t="shared" si="137"/>
        <v>0</v>
      </c>
      <c r="N301" s="68">
        <f t="shared" si="137"/>
        <v>-87.5</v>
      </c>
      <c r="O301" s="68">
        <f t="shared" si="137"/>
        <v>0</v>
      </c>
      <c r="P301" s="68">
        <f t="shared" si="137"/>
        <v>0</v>
      </c>
      <c r="Q301" s="68">
        <f t="shared" si="137"/>
        <v>0</v>
      </c>
      <c r="R301" s="68">
        <f t="shared" si="137"/>
        <v>0</v>
      </c>
    </row>
    <row r="302" spans="1:18" s="21" customFormat="1" ht="12.75" hidden="1">
      <c r="A302" s="66" t="s">
        <v>414</v>
      </c>
      <c r="B302" s="41"/>
      <c r="C302" s="67" t="s">
        <v>417</v>
      </c>
      <c r="D302" s="68">
        <f>D303</f>
        <v>593.2</v>
      </c>
      <c r="E302" s="68">
        <f t="shared" si="137"/>
        <v>1049.9693700000003</v>
      </c>
      <c r="F302" s="68">
        <f t="shared" si="137"/>
        <v>0</v>
      </c>
      <c r="G302" s="68">
        <f t="shared" si="137"/>
        <v>0</v>
      </c>
      <c r="H302" s="68">
        <f t="shared" si="137"/>
        <v>0</v>
      </c>
      <c r="I302" s="68">
        <f t="shared" si="137"/>
        <v>833.33333</v>
      </c>
      <c r="J302" s="68">
        <f t="shared" si="137"/>
        <v>-64.9</v>
      </c>
      <c r="K302" s="68">
        <f t="shared" si="137"/>
        <v>-224.16396</v>
      </c>
      <c r="L302" s="68">
        <f t="shared" si="137"/>
        <v>0</v>
      </c>
      <c r="M302" s="68">
        <f t="shared" si="137"/>
        <v>0</v>
      </c>
      <c r="N302" s="68">
        <f t="shared" si="137"/>
        <v>-87.5</v>
      </c>
      <c r="O302" s="68">
        <f t="shared" si="137"/>
        <v>0</v>
      </c>
      <c r="P302" s="68">
        <f t="shared" si="137"/>
        <v>0</v>
      </c>
      <c r="Q302" s="68">
        <f t="shared" si="137"/>
        <v>0</v>
      </c>
      <c r="R302" s="68">
        <f t="shared" si="137"/>
        <v>0</v>
      </c>
    </row>
    <row r="303" spans="1:18" s="21" customFormat="1" ht="12.75" hidden="1">
      <c r="A303" s="66" t="s">
        <v>415</v>
      </c>
      <c r="B303" s="41"/>
      <c r="C303" s="67" t="s">
        <v>418</v>
      </c>
      <c r="D303" s="68">
        <f>D304</f>
        <v>593.2</v>
      </c>
      <c r="E303" s="68">
        <f aca="true" t="shared" si="138" ref="E303:R303">E304</f>
        <v>1049.9693700000003</v>
      </c>
      <c r="F303" s="68">
        <f t="shared" si="138"/>
        <v>0</v>
      </c>
      <c r="G303" s="68">
        <f t="shared" si="138"/>
        <v>0</v>
      </c>
      <c r="H303" s="68">
        <f t="shared" si="138"/>
        <v>0</v>
      </c>
      <c r="I303" s="68">
        <f t="shared" si="138"/>
        <v>833.33333</v>
      </c>
      <c r="J303" s="68">
        <f t="shared" si="138"/>
        <v>-64.9</v>
      </c>
      <c r="K303" s="68">
        <f t="shared" si="138"/>
        <v>-224.16396</v>
      </c>
      <c r="L303" s="68">
        <f t="shared" si="138"/>
        <v>0</v>
      </c>
      <c r="M303" s="68">
        <f t="shared" si="138"/>
        <v>0</v>
      </c>
      <c r="N303" s="68">
        <f t="shared" si="138"/>
        <v>-87.5</v>
      </c>
      <c r="O303" s="68">
        <f t="shared" si="138"/>
        <v>0</v>
      </c>
      <c r="P303" s="68">
        <f t="shared" si="138"/>
        <v>0</v>
      </c>
      <c r="Q303" s="68">
        <f t="shared" si="138"/>
        <v>0</v>
      </c>
      <c r="R303" s="68">
        <f t="shared" si="138"/>
        <v>0</v>
      </c>
    </row>
    <row r="304" spans="1:18" s="21" customFormat="1" ht="25.5" hidden="1">
      <c r="A304" s="66"/>
      <c r="B304" s="41" t="s">
        <v>3</v>
      </c>
      <c r="C304" s="67" t="s">
        <v>95</v>
      </c>
      <c r="D304" s="68">
        <f>593.2</f>
        <v>593.2</v>
      </c>
      <c r="E304" s="64">
        <f>D304+SUM(F304:R304)</f>
        <v>1049.9693700000003</v>
      </c>
      <c r="F304" s="68"/>
      <c r="G304" s="68"/>
      <c r="H304" s="69"/>
      <c r="I304" s="69">
        <v>833.33333</v>
      </c>
      <c r="J304" s="68">
        <v>-64.9</v>
      </c>
      <c r="K304" s="70">
        <f>-224.14396-0.02</f>
        <v>-224.16396</v>
      </c>
      <c r="L304" s="68"/>
      <c r="M304" s="68"/>
      <c r="N304" s="68">
        <v>-87.5</v>
      </c>
      <c r="O304" s="68"/>
      <c r="P304" s="68"/>
      <c r="Q304" s="68"/>
      <c r="R304" s="68"/>
    </row>
    <row r="305" spans="1:18" s="21" customFormat="1" ht="51">
      <c r="A305" s="63" t="s">
        <v>530</v>
      </c>
      <c r="B305" s="11"/>
      <c r="C305" s="113" t="s">
        <v>564</v>
      </c>
      <c r="D305" s="73">
        <f>D306+D311</f>
        <v>0</v>
      </c>
      <c r="E305" s="73">
        <f aca="true" t="shared" si="139" ref="E305:R305">E306+E311</f>
        <v>25357.883199999997</v>
      </c>
      <c r="F305" s="73">
        <f t="shared" si="139"/>
        <v>0</v>
      </c>
      <c r="G305" s="73">
        <f t="shared" si="139"/>
        <v>0</v>
      </c>
      <c r="H305" s="73">
        <f t="shared" si="139"/>
        <v>0</v>
      </c>
      <c r="I305" s="73">
        <f t="shared" si="139"/>
        <v>0</v>
      </c>
      <c r="J305" s="73">
        <f t="shared" si="139"/>
        <v>25304.4</v>
      </c>
      <c r="K305" s="73">
        <f t="shared" si="139"/>
        <v>53.513200000000005</v>
      </c>
      <c r="L305" s="73">
        <f t="shared" si="139"/>
        <v>0</v>
      </c>
      <c r="M305" s="73">
        <f t="shared" si="139"/>
        <v>-0.03</v>
      </c>
      <c r="N305" s="73">
        <f t="shared" si="139"/>
        <v>0</v>
      </c>
      <c r="O305" s="73">
        <f t="shared" si="139"/>
        <v>0</v>
      </c>
      <c r="P305" s="73">
        <f>P306+P311</f>
        <v>0</v>
      </c>
      <c r="Q305" s="73">
        <f>Q306+Q311</f>
        <v>0</v>
      </c>
      <c r="R305" s="73">
        <f t="shared" si="139"/>
        <v>0</v>
      </c>
    </row>
    <row r="306" spans="1:18" s="21" customFormat="1" ht="25.5">
      <c r="A306" s="66" t="s">
        <v>532</v>
      </c>
      <c r="B306" s="41"/>
      <c r="C306" s="67" t="s">
        <v>533</v>
      </c>
      <c r="D306" s="68">
        <f>D307+D309</f>
        <v>0</v>
      </c>
      <c r="E306" s="68">
        <f aca="true" t="shared" si="140" ref="E306:Q306">E307+E309</f>
        <v>8942.64493</v>
      </c>
      <c r="F306" s="68">
        <f t="shared" si="140"/>
        <v>0</v>
      </c>
      <c r="G306" s="68">
        <f t="shared" si="140"/>
        <v>0</v>
      </c>
      <c r="H306" s="68">
        <f t="shared" si="140"/>
        <v>0</v>
      </c>
      <c r="I306" s="68">
        <f t="shared" si="140"/>
        <v>0</v>
      </c>
      <c r="J306" s="68">
        <f t="shared" si="140"/>
        <v>8942.7</v>
      </c>
      <c r="K306" s="68">
        <f t="shared" si="140"/>
        <v>-0.05507</v>
      </c>
      <c r="L306" s="68">
        <f t="shared" si="140"/>
        <v>0</v>
      </c>
      <c r="M306" s="68">
        <f t="shared" si="140"/>
        <v>0</v>
      </c>
      <c r="N306" s="68">
        <f t="shared" si="140"/>
        <v>0</v>
      </c>
      <c r="O306" s="68">
        <f t="shared" si="140"/>
        <v>0</v>
      </c>
      <c r="P306" s="68">
        <f t="shared" si="140"/>
        <v>0</v>
      </c>
      <c r="Q306" s="68">
        <f t="shared" si="140"/>
        <v>0</v>
      </c>
      <c r="R306" s="68">
        <f aca="true" t="shared" si="141" ref="E306:R307">R307</f>
        <v>0</v>
      </c>
    </row>
    <row r="307" spans="1:18" s="21" customFormat="1" ht="25.5">
      <c r="A307" s="66" t="s">
        <v>534</v>
      </c>
      <c r="B307" s="41"/>
      <c r="C307" s="67" t="s">
        <v>536</v>
      </c>
      <c r="D307" s="68">
        <f>D308</f>
        <v>0</v>
      </c>
      <c r="E307" s="68">
        <f t="shared" si="141"/>
        <v>0</v>
      </c>
      <c r="F307" s="68">
        <f t="shared" si="141"/>
        <v>0</v>
      </c>
      <c r="G307" s="68">
        <f t="shared" si="141"/>
        <v>0</v>
      </c>
      <c r="H307" s="68">
        <f t="shared" si="141"/>
        <v>0</v>
      </c>
      <c r="I307" s="68">
        <f t="shared" si="141"/>
        <v>0</v>
      </c>
      <c r="J307" s="68">
        <f t="shared" si="141"/>
        <v>8942.7</v>
      </c>
      <c r="K307" s="68">
        <f t="shared" si="141"/>
        <v>-0.05507</v>
      </c>
      <c r="L307" s="68">
        <f t="shared" si="141"/>
        <v>0</v>
      </c>
      <c r="M307" s="68">
        <f t="shared" si="141"/>
        <v>0</v>
      </c>
      <c r="N307" s="68">
        <f t="shared" si="141"/>
        <v>0</v>
      </c>
      <c r="O307" s="68">
        <f t="shared" si="141"/>
        <v>0</v>
      </c>
      <c r="P307" s="68">
        <f t="shared" si="141"/>
        <v>0</v>
      </c>
      <c r="Q307" s="68">
        <f t="shared" si="141"/>
        <v>-8942.64493</v>
      </c>
      <c r="R307" s="68">
        <f t="shared" si="141"/>
        <v>0</v>
      </c>
    </row>
    <row r="308" spans="1:18" s="21" customFormat="1" ht="25.5">
      <c r="A308" s="66"/>
      <c r="B308" s="41" t="s">
        <v>3</v>
      </c>
      <c r="C308" s="67" t="s">
        <v>95</v>
      </c>
      <c r="D308" s="68"/>
      <c r="E308" s="64">
        <f>D308+SUM(F308:R308)</f>
        <v>0</v>
      </c>
      <c r="F308" s="68"/>
      <c r="G308" s="68"/>
      <c r="H308" s="69"/>
      <c r="I308" s="69"/>
      <c r="J308" s="68">
        <v>8942.7</v>
      </c>
      <c r="K308" s="68">
        <v>-0.05507</v>
      </c>
      <c r="L308" s="68"/>
      <c r="M308" s="68"/>
      <c r="N308" s="68"/>
      <c r="O308" s="68"/>
      <c r="P308" s="68"/>
      <c r="Q308" s="68">
        <v>-8942.64493</v>
      </c>
      <c r="R308" s="68"/>
    </row>
    <row r="309" spans="1:18" s="21" customFormat="1" ht="25.5">
      <c r="A309" s="66" t="s">
        <v>560</v>
      </c>
      <c r="B309" s="41"/>
      <c r="C309" s="67" t="s">
        <v>536</v>
      </c>
      <c r="D309" s="68">
        <f>D310</f>
        <v>0</v>
      </c>
      <c r="E309" s="68">
        <f aca="true" t="shared" si="142" ref="E309:Q309">E310</f>
        <v>8942.64493</v>
      </c>
      <c r="F309" s="68">
        <f t="shared" si="142"/>
        <v>0</v>
      </c>
      <c r="G309" s="68">
        <f t="shared" si="142"/>
        <v>0</v>
      </c>
      <c r="H309" s="68">
        <f t="shared" si="142"/>
        <v>0</v>
      </c>
      <c r="I309" s="68">
        <f t="shared" si="142"/>
        <v>0</v>
      </c>
      <c r="J309" s="68">
        <f t="shared" si="142"/>
        <v>0</v>
      </c>
      <c r="K309" s="68">
        <f t="shared" si="142"/>
        <v>0</v>
      </c>
      <c r="L309" s="68">
        <f t="shared" si="142"/>
        <v>0</v>
      </c>
      <c r="M309" s="68">
        <f t="shared" si="142"/>
        <v>0</v>
      </c>
      <c r="N309" s="68">
        <f t="shared" si="142"/>
        <v>0</v>
      </c>
      <c r="O309" s="68">
        <f t="shared" si="142"/>
        <v>0</v>
      </c>
      <c r="P309" s="68">
        <f t="shared" si="142"/>
        <v>0</v>
      </c>
      <c r="Q309" s="68">
        <f t="shared" si="142"/>
        <v>8942.64493</v>
      </c>
      <c r="R309" s="68"/>
    </row>
    <row r="310" spans="1:18" s="21" customFormat="1" ht="25.5">
      <c r="A310" s="66"/>
      <c r="B310" s="41" t="s">
        <v>3</v>
      </c>
      <c r="C310" s="67" t="s">
        <v>95</v>
      </c>
      <c r="D310" s="68"/>
      <c r="E310" s="64">
        <f>D310+SUM(F310:R310)</f>
        <v>8942.64493</v>
      </c>
      <c r="F310" s="68"/>
      <c r="G310" s="68"/>
      <c r="H310" s="69"/>
      <c r="I310" s="69"/>
      <c r="J310" s="68"/>
      <c r="K310" s="68"/>
      <c r="L310" s="68"/>
      <c r="M310" s="68"/>
      <c r="N310" s="68"/>
      <c r="O310" s="68"/>
      <c r="P310" s="68"/>
      <c r="Q310" s="68">
        <v>8942.64493</v>
      </c>
      <c r="R310" s="68"/>
    </row>
    <row r="311" spans="1:18" s="21" customFormat="1" ht="38.25">
      <c r="A311" s="66" t="s">
        <v>537</v>
      </c>
      <c r="B311" s="41"/>
      <c r="C311" s="67" t="s">
        <v>538</v>
      </c>
      <c r="D311" s="68">
        <f>D312+D314</f>
        <v>0</v>
      </c>
      <c r="E311" s="68">
        <f aca="true" t="shared" si="143" ref="E311:R311">E312+E314</f>
        <v>16415.238269999998</v>
      </c>
      <c r="F311" s="68">
        <f t="shared" si="143"/>
        <v>0</v>
      </c>
      <c r="G311" s="68">
        <f t="shared" si="143"/>
        <v>0</v>
      </c>
      <c r="H311" s="68">
        <f t="shared" si="143"/>
        <v>0</v>
      </c>
      <c r="I311" s="68">
        <f t="shared" si="143"/>
        <v>0</v>
      </c>
      <c r="J311" s="68">
        <f t="shared" si="143"/>
        <v>16361.699999999999</v>
      </c>
      <c r="K311" s="68">
        <f t="shared" si="143"/>
        <v>53.568270000000005</v>
      </c>
      <c r="L311" s="68">
        <f t="shared" si="143"/>
        <v>0</v>
      </c>
      <c r="M311" s="68">
        <f t="shared" si="143"/>
        <v>-0.03</v>
      </c>
      <c r="N311" s="68">
        <f t="shared" si="143"/>
        <v>0</v>
      </c>
      <c r="O311" s="68">
        <f t="shared" si="143"/>
        <v>0</v>
      </c>
      <c r="P311" s="68">
        <f>P312+P314</f>
        <v>0</v>
      </c>
      <c r="Q311" s="68">
        <f>Q312+Q314</f>
        <v>0</v>
      </c>
      <c r="R311" s="68">
        <f t="shared" si="143"/>
        <v>0</v>
      </c>
    </row>
    <row r="312" spans="1:18" s="21" customFormat="1" ht="25.5">
      <c r="A312" s="66" t="s">
        <v>539</v>
      </c>
      <c r="B312" s="41"/>
      <c r="C312" s="67" t="s">
        <v>535</v>
      </c>
      <c r="D312" s="68">
        <f>D313</f>
        <v>0</v>
      </c>
      <c r="E312" s="68">
        <f aca="true" t="shared" si="144" ref="E312:R312">E313</f>
        <v>16415.238269999998</v>
      </c>
      <c r="F312" s="68">
        <f t="shared" si="144"/>
        <v>0</v>
      </c>
      <c r="G312" s="68">
        <f t="shared" si="144"/>
        <v>0</v>
      </c>
      <c r="H312" s="68">
        <f t="shared" si="144"/>
        <v>0</v>
      </c>
      <c r="I312" s="68">
        <f t="shared" si="144"/>
        <v>0</v>
      </c>
      <c r="J312" s="68">
        <f t="shared" si="144"/>
        <v>1404.4</v>
      </c>
      <c r="K312" s="68">
        <f t="shared" si="144"/>
        <v>0</v>
      </c>
      <c r="L312" s="68">
        <f t="shared" si="144"/>
        <v>0</v>
      </c>
      <c r="M312" s="68">
        <f t="shared" si="144"/>
        <v>-0.03</v>
      </c>
      <c r="N312" s="68">
        <f t="shared" si="144"/>
        <v>0</v>
      </c>
      <c r="O312" s="68">
        <f t="shared" si="144"/>
        <v>0</v>
      </c>
      <c r="P312" s="68">
        <f t="shared" si="144"/>
        <v>0</v>
      </c>
      <c r="Q312" s="68">
        <f t="shared" si="144"/>
        <v>15010.868269999999</v>
      </c>
      <c r="R312" s="68">
        <f t="shared" si="144"/>
        <v>0</v>
      </c>
    </row>
    <row r="313" spans="1:18" s="21" customFormat="1" ht="25.5">
      <c r="A313" s="66"/>
      <c r="B313" s="41" t="s">
        <v>3</v>
      </c>
      <c r="C313" s="67" t="s">
        <v>95</v>
      </c>
      <c r="D313" s="68"/>
      <c r="E313" s="64">
        <f>D313+SUM(F313:R313)</f>
        <v>16415.238269999998</v>
      </c>
      <c r="F313" s="68"/>
      <c r="G313" s="68"/>
      <c r="H313" s="69"/>
      <c r="I313" s="69"/>
      <c r="J313" s="68">
        <v>1404.4</v>
      </c>
      <c r="K313" s="70"/>
      <c r="L313" s="68"/>
      <c r="M313" s="68">
        <v>-0.03</v>
      </c>
      <c r="N313" s="68"/>
      <c r="O313" s="68"/>
      <c r="P313" s="68"/>
      <c r="Q313" s="68">
        <f>4471.32246+10486+53.54581</f>
        <v>15010.868269999999</v>
      </c>
      <c r="R313" s="68"/>
    </row>
    <row r="314" spans="1:18" s="21" customFormat="1" ht="25.5">
      <c r="A314" s="66" t="s">
        <v>540</v>
      </c>
      <c r="B314" s="41"/>
      <c r="C314" s="67" t="s">
        <v>536</v>
      </c>
      <c r="D314" s="68">
        <f>D315</f>
        <v>0</v>
      </c>
      <c r="E314" s="68">
        <f aca="true" t="shared" si="145" ref="E314:R314">E315</f>
        <v>0</v>
      </c>
      <c r="F314" s="68">
        <f t="shared" si="145"/>
        <v>0</v>
      </c>
      <c r="G314" s="68">
        <f t="shared" si="145"/>
        <v>0</v>
      </c>
      <c r="H314" s="68">
        <f t="shared" si="145"/>
        <v>0</v>
      </c>
      <c r="I314" s="68">
        <f t="shared" si="145"/>
        <v>0</v>
      </c>
      <c r="J314" s="68">
        <f t="shared" si="145"/>
        <v>14957.3</v>
      </c>
      <c r="K314" s="68">
        <f t="shared" si="145"/>
        <v>53.568270000000005</v>
      </c>
      <c r="L314" s="68">
        <f t="shared" si="145"/>
        <v>0</v>
      </c>
      <c r="M314" s="68">
        <f t="shared" si="145"/>
        <v>0</v>
      </c>
      <c r="N314" s="68">
        <f t="shared" si="145"/>
        <v>0</v>
      </c>
      <c r="O314" s="68">
        <f t="shared" si="145"/>
        <v>0</v>
      </c>
      <c r="P314" s="68">
        <f t="shared" si="145"/>
        <v>0</v>
      </c>
      <c r="Q314" s="68">
        <f t="shared" si="145"/>
        <v>-15010.868269999999</v>
      </c>
      <c r="R314" s="68">
        <f t="shared" si="145"/>
        <v>0</v>
      </c>
    </row>
    <row r="315" spans="1:18" s="21" customFormat="1" ht="25.5">
      <c r="A315" s="66"/>
      <c r="B315" s="41" t="s">
        <v>3</v>
      </c>
      <c r="C315" s="67" t="s">
        <v>95</v>
      </c>
      <c r="D315" s="68"/>
      <c r="E315" s="64">
        <f>D315+SUM(F315:R315)</f>
        <v>0</v>
      </c>
      <c r="F315" s="68"/>
      <c r="G315" s="68"/>
      <c r="H315" s="69"/>
      <c r="I315" s="69"/>
      <c r="J315" s="68">
        <f>10486+4471.3</f>
        <v>14957.3</v>
      </c>
      <c r="K315" s="68">
        <f>0.02246+53.54581</f>
        <v>53.568270000000005</v>
      </c>
      <c r="L315" s="68"/>
      <c r="M315" s="68"/>
      <c r="N315" s="68"/>
      <c r="O315" s="68"/>
      <c r="P315" s="68"/>
      <c r="Q315" s="68">
        <f>-4471.32246-10486-53.54581</f>
        <v>-15010.868269999999</v>
      </c>
      <c r="R315" s="68"/>
    </row>
    <row r="316" spans="1:18" s="21" customFormat="1" ht="27" customHeight="1" hidden="1">
      <c r="A316" s="63" t="s">
        <v>419</v>
      </c>
      <c r="B316" s="11"/>
      <c r="C316" s="84" t="s">
        <v>154</v>
      </c>
      <c r="D316" s="73">
        <f>D317+D321+D325+D323+D327+D331+D329</f>
        <v>24554.799999999996</v>
      </c>
      <c r="E316" s="73">
        <f aca="true" t="shared" si="146" ref="E316:J316">E317+E321+E325+E323+E327+E331+E329</f>
        <v>26781.977999999996</v>
      </c>
      <c r="F316" s="73">
        <f t="shared" si="146"/>
        <v>-17.64</v>
      </c>
      <c r="G316" s="73">
        <f t="shared" si="146"/>
        <v>148.038</v>
      </c>
      <c r="H316" s="73">
        <f t="shared" si="146"/>
        <v>1913.88</v>
      </c>
      <c r="I316" s="73">
        <f t="shared" si="146"/>
        <v>135</v>
      </c>
      <c r="J316" s="73">
        <f t="shared" si="146"/>
        <v>0</v>
      </c>
      <c r="K316" s="73">
        <f aca="true" t="shared" si="147" ref="K316:R316">K317+K321+K325+K323+K327+K331</f>
        <v>-25.5</v>
      </c>
      <c r="L316" s="73">
        <f t="shared" si="147"/>
        <v>0</v>
      </c>
      <c r="M316" s="73">
        <f t="shared" si="147"/>
        <v>100</v>
      </c>
      <c r="N316" s="73">
        <f t="shared" si="147"/>
        <v>0</v>
      </c>
      <c r="O316" s="73">
        <f t="shared" si="147"/>
        <v>-26.599999999999994</v>
      </c>
      <c r="P316" s="73">
        <f>P317+P321+P325+P323+P327+P331</f>
        <v>0</v>
      </c>
      <c r="Q316" s="73">
        <f>Q317+Q321+Q325+Q323+Q327+Q331</f>
        <v>0</v>
      </c>
      <c r="R316" s="73">
        <f t="shared" si="147"/>
        <v>0</v>
      </c>
    </row>
    <row r="317" spans="1:18" s="21" customFormat="1" ht="25.5" hidden="1">
      <c r="A317" s="66" t="s">
        <v>421</v>
      </c>
      <c r="B317" s="41"/>
      <c r="C317" s="83" t="s">
        <v>166</v>
      </c>
      <c r="D317" s="68">
        <f>D318+D319+D320</f>
        <v>19912.6</v>
      </c>
      <c r="E317" s="68">
        <f aca="true" t="shared" si="148" ref="E317:R317">E318+E319+E320</f>
        <v>21979.329999999998</v>
      </c>
      <c r="F317" s="68">
        <f t="shared" si="148"/>
        <v>-17.64</v>
      </c>
      <c r="G317" s="68">
        <f t="shared" si="148"/>
        <v>0</v>
      </c>
      <c r="H317" s="68">
        <f t="shared" si="148"/>
        <v>1821.2800000000002</v>
      </c>
      <c r="I317" s="68">
        <f t="shared" si="148"/>
        <v>135</v>
      </c>
      <c r="J317" s="68">
        <f t="shared" si="148"/>
        <v>0</v>
      </c>
      <c r="K317" s="68">
        <f t="shared" si="148"/>
        <v>-25.5</v>
      </c>
      <c r="L317" s="68">
        <f t="shared" si="148"/>
        <v>0</v>
      </c>
      <c r="M317" s="68">
        <f t="shared" si="148"/>
        <v>100</v>
      </c>
      <c r="N317" s="68">
        <f t="shared" si="148"/>
        <v>0</v>
      </c>
      <c r="O317" s="68">
        <f t="shared" si="148"/>
        <v>53.59</v>
      </c>
      <c r="P317" s="68">
        <f>P318+P319+P320</f>
        <v>0</v>
      </c>
      <c r="Q317" s="68">
        <f>Q318+Q319+Q320</f>
        <v>0</v>
      </c>
      <c r="R317" s="68">
        <f t="shared" si="148"/>
        <v>0</v>
      </c>
    </row>
    <row r="318" spans="1:18" s="21" customFormat="1" ht="51" hidden="1">
      <c r="A318" s="66"/>
      <c r="B318" s="41" t="s">
        <v>2</v>
      </c>
      <c r="C318" s="67" t="s">
        <v>94</v>
      </c>
      <c r="D318" s="68">
        <f>1907+14797.1</f>
        <v>16704.1</v>
      </c>
      <c r="E318" s="64">
        <f>D318+SUM(F318:R318)</f>
        <v>18510.379999999997</v>
      </c>
      <c r="F318" s="68"/>
      <c r="G318" s="68"/>
      <c r="H318" s="68">
        <f>179.9+1626.38</f>
        <v>1806.2800000000002</v>
      </c>
      <c r="I318" s="68"/>
      <c r="J318" s="68"/>
      <c r="K318" s="68"/>
      <c r="L318" s="68"/>
      <c r="M318" s="68"/>
      <c r="N318" s="68"/>
      <c r="O318" s="68"/>
      <c r="P318" s="68"/>
      <c r="Q318" s="68"/>
      <c r="R318" s="68"/>
    </row>
    <row r="319" spans="1:18" s="21" customFormat="1" ht="25.5" hidden="1">
      <c r="A319" s="66"/>
      <c r="B319" s="41" t="s">
        <v>3</v>
      </c>
      <c r="C319" s="67" t="s">
        <v>95</v>
      </c>
      <c r="D319" s="68">
        <f>406.2+2784.3</f>
        <v>3190.5</v>
      </c>
      <c r="E319" s="64">
        <f>D319+SUM(F319:R319)</f>
        <v>3118.45</v>
      </c>
      <c r="F319" s="68">
        <v>-17.64</v>
      </c>
      <c r="G319" s="68"/>
      <c r="H319" s="69">
        <v>-60</v>
      </c>
      <c r="I319" s="69">
        <v>60</v>
      </c>
      <c r="J319" s="68">
        <v>-22.5</v>
      </c>
      <c r="K319" s="68">
        <f>4.5-40</f>
        <v>-35.5</v>
      </c>
      <c r="L319" s="68"/>
      <c r="M319" s="68"/>
      <c r="N319" s="68"/>
      <c r="O319" s="68">
        <f>53.59</f>
        <v>53.59</v>
      </c>
      <c r="P319" s="68">
        <v>-50</v>
      </c>
      <c r="Q319" s="68"/>
      <c r="R319" s="68"/>
    </row>
    <row r="320" spans="1:18" s="21" customFormat="1" ht="12.75" hidden="1">
      <c r="A320" s="66"/>
      <c r="B320" s="41" t="s">
        <v>4</v>
      </c>
      <c r="C320" s="67" t="s">
        <v>5</v>
      </c>
      <c r="D320" s="68">
        <f>0.4+17.6</f>
        <v>18</v>
      </c>
      <c r="E320" s="64">
        <f>D320+SUM(F320:R320)</f>
        <v>350.5</v>
      </c>
      <c r="F320" s="68"/>
      <c r="G320" s="68"/>
      <c r="H320" s="69">
        <v>75</v>
      </c>
      <c r="I320" s="69">
        <v>75</v>
      </c>
      <c r="J320" s="68">
        <v>22.5</v>
      </c>
      <c r="K320" s="68">
        <f>10</f>
        <v>10</v>
      </c>
      <c r="L320" s="68"/>
      <c r="M320" s="68">
        <v>100</v>
      </c>
      <c r="N320" s="68"/>
      <c r="O320" s="68"/>
      <c r="P320" s="68">
        <v>50</v>
      </c>
      <c r="Q320" s="68"/>
      <c r="R320" s="68"/>
    </row>
    <row r="321" spans="1:18" s="21" customFormat="1" ht="12.75" hidden="1">
      <c r="A321" s="66" t="s">
        <v>422</v>
      </c>
      <c r="B321" s="41"/>
      <c r="C321" s="57" t="s">
        <v>93</v>
      </c>
      <c r="D321" s="68">
        <f>D322</f>
        <v>1305.3</v>
      </c>
      <c r="E321" s="68">
        <f aca="true" t="shared" si="149" ref="E321:R321">E322</f>
        <v>1351.6</v>
      </c>
      <c r="F321" s="68">
        <f t="shared" si="149"/>
        <v>0</v>
      </c>
      <c r="G321" s="68">
        <f t="shared" si="149"/>
        <v>0</v>
      </c>
      <c r="H321" s="68">
        <f t="shared" si="149"/>
        <v>46.3</v>
      </c>
      <c r="I321" s="68">
        <f t="shared" si="149"/>
        <v>0</v>
      </c>
      <c r="J321" s="68">
        <f t="shared" si="149"/>
        <v>0</v>
      </c>
      <c r="K321" s="68">
        <f t="shared" si="149"/>
        <v>0</v>
      </c>
      <c r="L321" s="68">
        <f t="shared" si="149"/>
        <v>0</v>
      </c>
      <c r="M321" s="68">
        <f t="shared" si="149"/>
        <v>0</v>
      </c>
      <c r="N321" s="68">
        <f t="shared" si="149"/>
        <v>0</v>
      </c>
      <c r="O321" s="68">
        <f t="shared" si="149"/>
        <v>0</v>
      </c>
      <c r="P321" s="68">
        <f t="shared" si="149"/>
        <v>0</v>
      </c>
      <c r="Q321" s="68">
        <f t="shared" si="149"/>
        <v>0</v>
      </c>
      <c r="R321" s="68">
        <f t="shared" si="149"/>
        <v>0</v>
      </c>
    </row>
    <row r="322" spans="1:18" s="21" customFormat="1" ht="51" hidden="1">
      <c r="A322" s="66"/>
      <c r="B322" s="41" t="s">
        <v>2</v>
      </c>
      <c r="C322" s="67" t="s">
        <v>94</v>
      </c>
      <c r="D322" s="68">
        <f>1305.3</f>
        <v>1305.3</v>
      </c>
      <c r="E322" s="64">
        <f>D322+SUM(F322:R322)</f>
        <v>1351.6</v>
      </c>
      <c r="F322" s="68"/>
      <c r="G322" s="68"/>
      <c r="H322" s="68">
        <v>46.3</v>
      </c>
      <c r="I322" s="68"/>
      <c r="J322" s="68"/>
      <c r="K322" s="68"/>
      <c r="L322" s="68"/>
      <c r="M322" s="68"/>
      <c r="N322" s="68"/>
      <c r="O322" s="68"/>
      <c r="P322" s="68"/>
      <c r="Q322" s="68"/>
      <c r="R322" s="68"/>
    </row>
    <row r="323" spans="1:18" s="21" customFormat="1" ht="25.5" hidden="1">
      <c r="A323" s="66" t="s">
        <v>420</v>
      </c>
      <c r="B323" s="41"/>
      <c r="C323" s="83" t="s">
        <v>101</v>
      </c>
      <c r="D323" s="68">
        <f>D324</f>
        <v>1305.3</v>
      </c>
      <c r="E323" s="68">
        <f aca="true" t="shared" si="150" ref="E323:R323">E324</f>
        <v>1351.6</v>
      </c>
      <c r="F323" s="68">
        <f t="shared" si="150"/>
        <v>0</v>
      </c>
      <c r="G323" s="68">
        <f t="shared" si="150"/>
        <v>0</v>
      </c>
      <c r="H323" s="68">
        <f t="shared" si="150"/>
        <v>46.3</v>
      </c>
      <c r="I323" s="68">
        <f t="shared" si="150"/>
        <v>0</v>
      </c>
      <c r="J323" s="68">
        <f t="shared" si="150"/>
        <v>0</v>
      </c>
      <c r="K323" s="68">
        <f t="shared" si="150"/>
        <v>0</v>
      </c>
      <c r="L323" s="68">
        <f t="shared" si="150"/>
        <v>0</v>
      </c>
      <c r="M323" s="68">
        <f t="shared" si="150"/>
        <v>0</v>
      </c>
      <c r="N323" s="68">
        <f t="shared" si="150"/>
        <v>0</v>
      </c>
      <c r="O323" s="68">
        <f t="shared" si="150"/>
        <v>0</v>
      </c>
      <c r="P323" s="68">
        <f t="shared" si="150"/>
        <v>0</v>
      </c>
      <c r="Q323" s="68">
        <f t="shared" si="150"/>
        <v>0</v>
      </c>
      <c r="R323" s="68">
        <f t="shared" si="150"/>
        <v>0</v>
      </c>
    </row>
    <row r="324" spans="1:18" s="21" customFormat="1" ht="52.5" customHeight="1" hidden="1">
      <c r="A324" s="41"/>
      <c r="B324" s="41" t="s">
        <v>2</v>
      </c>
      <c r="C324" s="67" t="s">
        <v>94</v>
      </c>
      <c r="D324" s="68">
        <v>1305.3</v>
      </c>
      <c r="E324" s="64">
        <f>D324+SUM(F324:R324)</f>
        <v>1351.6</v>
      </c>
      <c r="F324" s="68"/>
      <c r="G324" s="68"/>
      <c r="H324" s="69">
        <v>46.3</v>
      </c>
      <c r="I324" s="69"/>
      <c r="J324" s="68"/>
      <c r="K324" s="68"/>
      <c r="L324" s="68"/>
      <c r="M324" s="68"/>
      <c r="N324" s="68"/>
      <c r="O324" s="68"/>
      <c r="P324" s="68"/>
      <c r="Q324" s="68"/>
      <c r="R324" s="68"/>
    </row>
    <row r="325" spans="1:18" s="21" customFormat="1" ht="31.5" customHeight="1" hidden="1">
      <c r="A325" s="66" t="s">
        <v>423</v>
      </c>
      <c r="B325" s="41"/>
      <c r="C325" s="83" t="s">
        <v>92</v>
      </c>
      <c r="D325" s="68">
        <f>D326</f>
        <v>2031.6000000000001</v>
      </c>
      <c r="E325" s="68">
        <f aca="true" t="shared" si="151" ref="E325:R325">E326</f>
        <v>1951.41</v>
      </c>
      <c r="F325" s="68">
        <f t="shared" si="151"/>
        <v>0</v>
      </c>
      <c r="G325" s="68">
        <f t="shared" si="151"/>
        <v>0</v>
      </c>
      <c r="H325" s="68">
        <f t="shared" si="151"/>
        <v>0</v>
      </c>
      <c r="I325" s="68">
        <f t="shared" si="151"/>
        <v>0</v>
      </c>
      <c r="J325" s="68">
        <f t="shared" si="151"/>
        <v>0</v>
      </c>
      <c r="K325" s="68">
        <f t="shared" si="151"/>
        <v>0</v>
      </c>
      <c r="L325" s="68">
        <f t="shared" si="151"/>
        <v>0</v>
      </c>
      <c r="M325" s="68">
        <f t="shared" si="151"/>
        <v>0</v>
      </c>
      <c r="N325" s="68">
        <f t="shared" si="151"/>
        <v>0</v>
      </c>
      <c r="O325" s="68">
        <f t="shared" si="151"/>
        <v>-80.19</v>
      </c>
      <c r="P325" s="68">
        <f t="shared" si="151"/>
        <v>0</v>
      </c>
      <c r="Q325" s="68">
        <f t="shared" si="151"/>
        <v>0</v>
      </c>
      <c r="R325" s="68">
        <f t="shared" si="151"/>
        <v>0</v>
      </c>
    </row>
    <row r="326" spans="1:18" s="21" customFormat="1" ht="55.5" customHeight="1" hidden="1">
      <c r="A326" s="66"/>
      <c r="B326" s="41" t="s">
        <v>2</v>
      </c>
      <c r="C326" s="67" t="s">
        <v>94</v>
      </c>
      <c r="D326" s="68">
        <f>2179.9-148.3</f>
        <v>2031.6000000000001</v>
      </c>
      <c r="E326" s="64">
        <f>D326+SUM(F326:R326)</f>
        <v>1951.41</v>
      </c>
      <c r="F326" s="68"/>
      <c r="G326" s="68"/>
      <c r="H326" s="69"/>
      <c r="I326" s="69"/>
      <c r="J326" s="68"/>
      <c r="K326" s="68"/>
      <c r="L326" s="68"/>
      <c r="M326" s="70"/>
      <c r="N326" s="68"/>
      <c r="O326" s="68">
        <v>-80.19</v>
      </c>
      <c r="P326" s="68"/>
      <c r="Q326" s="68"/>
      <c r="R326" s="68"/>
    </row>
    <row r="327" spans="1:18" s="21" customFormat="1" ht="30.75" customHeight="1" hidden="1">
      <c r="A327" s="66" t="s">
        <v>445</v>
      </c>
      <c r="B327" s="41"/>
      <c r="C327" s="67" t="s">
        <v>447</v>
      </c>
      <c r="D327" s="68">
        <f>D328</f>
        <v>0</v>
      </c>
      <c r="E327" s="68">
        <f aca="true" t="shared" si="152" ref="E327:R327">E328</f>
        <v>25.9</v>
      </c>
      <c r="F327" s="68">
        <f t="shared" si="152"/>
        <v>0</v>
      </c>
      <c r="G327" s="68">
        <f t="shared" si="152"/>
        <v>25.9</v>
      </c>
      <c r="H327" s="68">
        <f t="shared" si="152"/>
        <v>0</v>
      </c>
      <c r="I327" s="68">
        <f t="shared" si="152"/>
        <v>0</v>
      </c>
      <c r="J327" s="68">
        <f t="shared" si="152"/>
        <v>0</v>
      </c>
      <c r="K327" s="68">
        <f t="shared" si="152"/>
        <v>0</v>
      </c>
      <c r="L327" s="68">
        <f t="shared" si="152"/>
        <v>0</v>
      </c>
      <c r="M327" s="68">
        <f t="shared" si="152"/>
        <v>0</v>
      </c>
      <c r="N327" s="68">
        <f t="shared" si="152"/>
        <v>0</v>
      </c>
      <c r="O327" s="68">
        <f t="shared" si="152"/>
        <v>0</v>
      </c>
      <c r="P327" s="68">
        <f t="shared" si="152"/>
        <v>0</v>
      </c>
      <c r="Q327" s="68">
        <f t="shared" si="152"/>
        <v>0</v>
      </c>
      <c r="R327" s="68">
        <f t="shared" si="152"/>
        <v>0</v>
      </c>
    </row>
    <row r="328" spans="1:18" s="21" customFormat="1" ht="34.5" customHeight="1" hidden="1">
      <c r="A328" s="66"/>
      <c r="B328" s="41" t="s">
        <v>3</v>
      </c>
      <c r="C328" s="67" t="s">
        <v>95</v>
      </c>
      <c r="D328" s="68"/>
      <c r="E328" s="64">
        <f>D328+SUM(F328:R328)</f>
        <v>25.9</v>
      </c>
      <c r="F328" s="68"/>
      <c r="G328" s="68">
        <f>25.9</f>
        <v>25.9</v>
      </c>
      <c r="H328" s="69"/>
      <c r="I328" s="69"/>
      <c r="J328" s="68"/>
      <c r="K328" s="68"/>
      <c r="L328" s="68"/>
      <c r="M328" s="70"/>
      <c r="N328" s="68"/>
      <c r="O328" s="68"/>
      <c r="P328" s="68"/>
      <c r="Q328" s="68"/>
      <c r="R328" s="68"/>
    </row>
    <row r="329" spans="1:18" s="21" customFormat="1" ht="34.5" customHeight="1" hidden="1">
      <c r="A329" s="66" t="s">
        <v>465</v>
      </c>
      <c r="B329" s="41"/>
      <c r="C329" s="67" t="s">
        <v>466</v>
      </c>
      <c r="D329" s="68">
        <f>D330</f>
        <v>0</v>
      </c>
      <c r="E329" s="68">
        <f aca="true" t="shared" si="153" ref="E329:J329">E330</f>
        <v>122.138</v>
      </c>
      <c r="F329" s="68">
        <f t="shared" si="153"/>
        <v>0</v>
      </c>
      <c r="G329" s="68">
        <f t="shared" si="153"/>
        <v>122.138</v>
      </c>
      <c r="H329" s="68">
        <f t="shared" si="153"/>
        <v>0</v>
      </c>
      <c r="I329" s="68">
        <f t="shared" si="153"/>
        <v>0</v>
      </c>
      <c r="J329" s="68">
        <f t="shared" si="153"/>
        <v>0</v>
      </c>
      <c r="K329" s="68"/>
      <c r="L329" s="68"/>
      <c r="M329" s="70"/>
      <c r="N329" s="68"/>
      <c r="O329" s="68"/>
      <c r="P329" s="68"/>
      <c r="Q329" s="68"/>
      <c r="R329" s="68"/>
    </row>
    <row r="330" spans="1:18" s="21" customFormat="1" ht="61.5" customHeight="1" hidden="1">
      <c r="A330" s="66"/>
      <c r="B330" s="41" t="s">
        <v>2</v>
      </c>
      <c r="C330" s="67" t="s">
        <v>94</v>
      </c>
      <c r="D330" s="68"/>
      <c r="E330" s="64">
        <f>D330+SUM(F330:R330)</f>
        <v>122.138</v>
      </c>
      <c r="F330" s="68"/>
      <c r="G330" s="68">
        <f>122.138</f>
        <v>122.138</v>
      </c>
      <c r="H330" s="69"/>
      <c r="I330" s="69"/>
      <c r="J330" s="68"/>
      <c r="K330" s="68"/>
      <c r="L330" s="68"/>
      <c r="M330" s="70"/>
      <c r="N330" s="68"/>
      <c r="O330" s="68"/>
      <c r="P330" s="68"/>
      <c r="Q330" s="68"/>
      <c r="R330" s="68"/>
    </row>
    <row r="331" spans="1:18" s="21" customFormat="1" ht="81" customHeight="1" hidden="1">
      <c r="A331" s="66" t="s">
        <v>446</v>
      </c>
      <c r="B331" s="41"/>
      <c r="C331" s="67" t="s">
        <v>448</v>
      </c>
      <c r="D331" s="68">
        <f>D332</f>
        <v>0</v>
      </c>
      <c r="E331" s="68">
        <f aca="true" t="shared" si="154" ref="E331:R331">E332</f>
        <v>0</v>
      </c>
      <c r="F331" s="68">
        <f t="shared" si="154"/>
        <v>0</v>
      </c>
      <c r="G331" s="68">
        <f t="shared" si="154"/>
        <v>0</v>
      </c>
      <c r="H331" s="68">
        <f t="shared" si="154"/>
        <v>0</v>
      </c>
      <c r="I331" s="68">
        <f t="shared" si="154"/>
        <v>0</v>
      </c>
      <c r="J331" s="68">
        <f t="shared" si="154"/>
        <v>0</v>
      </c>
      <c r="K331" s="68">
        <f t="shared" si="154"/>
        <v>0</v>
      </c>
      <c r="L331" s="68">
        <f t="shared" si="154"/>
        <v>0</v>
      </c>
      <c r="M331" s="68">
        <f t="shared" si="154"/>
        <v>0</v>
      </c>
      <c r="N331" s="68">
        <f t="shared" si="154"/>
        <v>0</v>
      </c>
      <c r="O331" s="68">
        <f t="shared" si="154"/>
        <v>0</v>
      </c>
      <c r="P331" s="68">
        <f t="shared" si="154"/>
        <v>0</v>
      </c>
      <c r="Q331" s="68">
        <f t="shared" si="154"/>
        <v>0</v>
      </c>
      <c r="R331" s="68">
        <f t="shared" si="154"/>
        <v>0</v>
      </c>
    </row>
    <row r="332" spans="1:18" s="21" customFormat="1" ht="55.5" customHeight="1" hidden="1">
      <c r="A332" s="66"/>
      <c r="B332" s="41" t="s">
        <v>2</v>
      </c>
      <c r="C332" s="67" t="s">
        <v>94</v>
      </c>
      <c r="D332" s="68"/>
      <c r="E332" s="64">
        <f>D332+SUM(F332:R332)</f>
        <v>0</v>
      </c>
      <c r="F332" s="68"/>
      <c r="G332" s="68"/>
      <c r="H332" s="69"/>
      <c r="I332" s="69"/>
      <c r="J332" s="68"/>
      <c r="K332" s="68"/>
      <c r="L332" s="68"/>
      <c r="M332" s="70"/>
      <c r="N332" s="68"/>
      <c r="O332" s="68"/>
      <c r="P332" s="68"/>
      <c r="Q332" s="68"/>
      <c r="R332" s="68"/>
    </row>
    <row r="333" spans="1:18" s="21" customFormat="1" ht="40.5" customHeight="1" hidden="1">
      <c r="A333" s="63" t="s">
        <v>424</v>
      </c>
      <c r="B333" s="11"/>
      <c r="C333" s="113" t="s">
        <v>142</v>
      </c>
      <c r="D333" s="73">
        <f>D334</f>
        <v>371.6</v>
      </c>
      <c r="E333" s="73">
        <f aca="true" t="shared" si="155" ref="E333:R334">E334</f>
        <v>371.6</v>
      </c>
      <c r="F333" s="73">
        <f t="shared" si="155"/>
        <v>0</v>
      </c>
      <c r="G333" s="73">
        <f t="shared" si="155"/>
        <v>0</v>
      </c>
      <c r="H333" s="73">
        <f t="shared" si="155"/>
        <v>0</v>
      </c>
      <c r="I333" s="73">
        <f t="shared" si="155"/>
        <v>0</v>
      </c>
      <c r="J333" s="73">
        <f t="shared" si="155"/>
        <v>0</v>
      </c>
      <c r="K333" s="73">
        <f t="shared" si="155"/>
        <v>0</v>
      </c>
      <c r="L333" s="73">
        <f t="shared" si="155"/>
        <v>0</v>
      </c>
      <c r="M333" s="73">
        <f t="shared" si="155"/>
        <v>0</v>
      </c>
      <c r="N333" s="73">
        <f t="shared" si="155"/>
        <v>0</v>
      </c>
      <c r="O333" s="73">
        <f t="shared" si="155"/>
        <v>0</v>
      </c>
      <c r="P333" s="73">
        <f t="shared" si="155"/>
        <v>0</v>
      </c>
      <c r="Q333" s="73">
        <f t="shared" si="155"/>
        <v>0</v>
      </c>
      <c r="R333" s="73">
        <f t="shared" si="155"/>
        <v>0</v>
      </c>
    </row>
    <row r="334" spans="1:18" s="21" customFormat="1" ht="25.5" customHeight="1" hidden="1">
      <c r="A334" s="66" t="s">
        <v>486</v>
      </c>
      <c r="B334" s="41"/>
      <c r="C334" s="67" t="s">
        <v>487</v>
      </c>
      <c r="D334" s="68">
        <f>D335</f>
        <v>371.6</v>
      </c>
      <c r="E334" s="68">
        <f t="shared" si="155"/>
        <v>371.6</v>
      </c>
      <c r="F334" s="68">
        <f t="shared" si="155"/>
        <v>0</v>
      </c>
      <c r="G334" s="68">
        <f t="shared" si="155"/>
        <v>0</v>
      </c>
      <c r="H334" s="68">
        <f t="shared" si="155"/>
        <v>0</v>
      </c>
      <c r="I334" s="68">
        <f t="shared" si="155"/>
        <v>0</v>
      </c>
      <c r="J334" s="68">
        <f t="shared" si="155"/>
        <v>0</v>
      </c>
      <c r="K334" s="68">
        <f t="shared" si="155"/>
        <v>0</v>
      </c>
      <c r="L334" s="68">
        <f t="shared" si="155"/>
        <v>0</v>
      </c>
      <c r="M334" s="68">
        <f t="shared" si="155"/>
        <v>0</v>
      </c>
      <c r="N334" s="68">
        <f t="shared" si="155"/>
        <v>0</v>
      </c>
      <c r="O334" s="68">
        <f t="shared" si="155"/>
        <v>0</v>
      </c>
      <c r="P334" s="68">
        <f t="shared" si="155"/>
        <v>0</v>
      </c>
      <c r="Q334" s="68">
        <f t="shared" si="155"/>
        <v>0</v>
      </c>
      <c r="R334" s="68">
        <f t="shared" si="155"/>
        <v>0</v>
      </c>
    </row>
    <row r="335" spans="1:18" s="21" customFormat="1" ht="18.75" customHeight="1" hidden="1">
      <c r="A335" s="66"/>
      <c r="B335" s="41" t="s">
        <v>9</v>
      </c>
      <c r="C335" s="67" t="s">
        <v>37</v>
      </c>
      <c r="D335" s="68">
        <v>371.6</v>
      </c>
      <c r="E335" s="64">
        <f>D335+SUM(F335:R335)</f>
        <v>371.6</v>
      </c>
      <c r="F335" s="68"/>
      <c r="G335" s="68"/>
      <c r="H335" s="69"/>
      <c r="I335" s="69"/>
      <c r="J335" s="68"/>
      <c r="K335" s="68"/>
      <c r="L335" s="68"/>
      <c r="M335" s="70"/>
      <c r="N335" s="68"/>
      <c r="O335" s="68"/>
      <c r="P335" s="68"/>
      <c r="Q335" s="68"/>
      <c r="R335" s="68"/>
    </row>
    <row r="336" spans="1:18" s="21" customFormat="1" ht="34.5" customHeight="1">
      <c r="A336" s="63" t="s">
        <v>425</v>
      </c>
      <c r="B336" s="11"/>
      <c r="C336" s="84" t="s">
        <v>143</v>
      </c>
      <c r="D336" s="73">
        <f>D337+D341+D344+D346+D348+D354+D350+D352</f>
        <v>13514.7</v>
      </c>
      <c r="E336" s="73">
        <f aca="true" t="shared" si="156" ref="E336:R336">E337+E341+E344+E346+E348+E354+E350+E352</f>
        <v>14796.81296</v>
      </c>
      <c r="F336" s="73">
        <f t="shared" si="156"/>
        <v>17.64</v>
      </c>
      <c r="G336" s="73">
        <f t="shared" si="156"/>
        <v>-103.11200000000008</v>
      </c>
      <c r="H336" s="73">
        <f t="shared" si="156"/>
        <v>53.24000000000069</v>
      </c>
      <c r="I336" s="73">
        <f t="shared" si="156"/>
        <v>0</v>
      </c>
      <c r="J336" s="73">
        <f t="shared" si="156"/>
        <v>34.099999999999994</v>
      </c>
      <c r="K336" s="73">
        <f t="shared" si="156"/>
        <v>607.89396</v>
      </c>
      <c r="L336" s="73">
        <f t="shared" si="156"/>
        <v>72.115</v>
      </c>
      <c r="M336" s="73">
        <f t="shared" si="156"/>
        <v>573.936</v>
      </c>
      <c r="N336" s="73">
        <f t="shared" si="156"/>
        <v>-24</v>
      </c>
      <c r="O336" s="73">
        <f t="shared" si="156"/>
        <v>50.3</v>
      </c>
      <c r="P336" s="73">
        <f>P337+P341+P344+P346+P348+P354+P350+P352</f>
        <v>0</v>
      </c>
      <c r="Q336" s="73">
        <f>Q337+Q341+Q344+Q346+Q348+Q354+Q350+Q352</f>
        <v>0</v>
      </c>
      <c r="R336" s="73">
        <f t="shared" si="156"/>
        <v>0</v>
      </c>
    </row>
    <row r="337" spans="1:18" s="21" customFormat="1" ht="41.25" customHeight="1" hidden="1">
      <c r="A337" s="66" t="s">
        <v>426</v>
      </c>
      <c r="B337" s="41"/>
      <c r="C337" s="57" t="s">
        <v>479</v>
      </c>
      <c r="D337" s="68">
        <f>D338+D339+D340</f>
        <v>12925.5</v>
      </c>
      <c r="E337" s="68">
        <f aca="true" t="shared" si="157" ref="E337:R337">E338+E339+E340</f>
        <v>13629.297959999998</v>
      </c>
      <c r="F337" s="68">
        <f t="shared" si="157"/>
        <v>17.64</v>
      </c>
      <c r="G337" s="68">
        <f t="shared" si="157"/>
        <v>-103.11200000000008</v>
      </c>
      <c r="H337" s="68">
        <f t="shared" si="157"/>
        <v>53.24000000000069</v>
      </c>
      <c r="I337" s="68">
        <f t="shared" si="157"/>
        <v>0</v>
      </c>
      <c r="J337" s="68">
        <f t="shared" si="157"/>
        <v>33.8</v>
      </c>
      <c r="K337" s="68">
        <f t="shared" si="157"/>
        <v>607.89396</v>
      </c>
      <c r="L337" s="68">
        <f t="shared" si="157"/>
        <v>0</v>
      </c>
      <c r="M337" s="68">
        <f t="shared" si="157"/>
        <v>44.036</v>
      </c>
      <c r="N337" s="68">
        <f t="shared" si="157"/>
        <v>0</v>
      </c>
      <c r="O337" s="68">
        <f t="shared" si="157"/>
        <v>50.3</v>
      </c>
      <c r="P337" s="68">
        <f>P338+P339+P340</f>
        <v>0</v>
      </c>
      <c r="Q337" s="68">
        <f>Q338+Q339+Q340</f>
        <v>0</v>
      </c>
      <c r="R337" s="68">
        <f t="shared" si="157"/>
        <v>0</v>
      </c>
    </row>
    <row r="338" spans="1:18" s="21" customFormat="1" ht="41.25" customHeight="1" hidden="1">
      <c r="A338" s="66"/>
      <c r="B338" s="41" t="s">
        <v>3</v>
      </c>
      <c r="C338" s="67" t="s">
        <v>95</v>
      </c>
      <c r="D338" s="68"/>
      <c r="E338" s="64">
        <f>D338+SUM(F338:R338)</f>
        <v>598.90496</v>
      </c>
      <c r="F338" s="68"/>
      <c r="G338" s="68"/>
      <c r="H338" s="68"/>
      <c r="I338" s="68"/>
      <c r="J338" s="68"/>
      <c r="K338" s="68">
        <v>598.90496</v>
      </c>
      <c r="L338" s="68"/>
      <c r="M338" s="68"/>
      <c r="N338" s="68"/>
      <c r="O338" s="68"/>
      <c r="P338" s="68"/>
      <c r="Q338" s="68"/>
      <c r="R338" s="68"/>
    </row>
    <row r="339" spans="1:18" s="21" customFormat="1" ht="50.25" customHeight="1" hidden="1">
      <c r="A339" s="56"/>
      <c r="B339" s="86" t="s">
        <v>10</v>
      </c>
      <c r="C339" s="75" t="s">
        <v>99</v>
      </c>
      <c r="D339" s="68">
        <f>9189.9</f>
        <v>9189.9</v>
      </c>
      <c r="E339" s="126">
        <f>D339+SUM(F339:R339)</f>
        <v>0</v>
      </c>
      <c r="F339" s="68"/>
      <c r="G339" s="68">
        <f>-1320</f>
        <v>-1320</v>
      </c>
      <c r="H339" s="68">
        <v>-7869.9</v>
      </c>
      <c r="I339" s="68"/>
      <c r="J339" s="68"/>
      <c r="K339" s="68"/>
      <c r="L339" s="68"/>
      <c r="M339" s="68"/>
      <c r="N339" s="68"/>
      <c r="O339" s="68"/>
      <c r="P339" s="68"/>
      <c r="Q339" s="68"/>
      <c r="R339" s="68"/>
    </row>
    <row r="340" spans="1:18" s="21" customFormat="1" ht="24.75" customHeight="1" hidden="1">
      <c r="A340" s="56"/>
      <c r="B340" s="41" t="s">
        <v>4</v>
      </c>
      <c r="C340" s="67" t="s">
        <v>5</v>
      </c>
      <c r="D340" s="68">
        <f>3735.6</f>
        <v>3735.6</v>
      </c>
      <c r="E340" s="64">
        <f>D340+SUM(F340:R340)</f>
        <v>13030.392999999998</v>
      </c>
      <c r="F340" s="68">
        <v>17.64</v>
      </c>
      <c r="G340" s="68">
        <f>1143.388+73.5</f>
        <v>1216.888</v>
      </c>
      <c r="H340" s="68">
        <f>50.3+7872.84</f>
        <v>7923.14</v>
      </c>
      <c r="I340" s="68"/>
      <c r="J340" s="68">
        <v>33.8</v>
      </c>
      <c r="K340" s="68">
        <v>8.989</v>
      </c>
      <c r="L340" s="68"/>
      <c r="M340" s="68">
        <v>44.036</v>
      </c>
      <c r="N340" s="68"/>
      <c r="O340" s="68">
        <v>50.3</v>
      </c>
      <c r="P340" s="68"/>
      <c r="Q340" s="68"/>
      <c r="R340" s="68"/>
    </row>
    <row r="341" spans="1:18" s="21" customFormat="1" ht="38.25" hidden="1">
      <c r="A341" s="66" t="s">
        <v>427</v>
      </c>
      <c r="B341" s="56"/>
      <c r="C341" s="83" t="s">
        <v>100</v>
      </c>
      <c r="D341" s="68">
        <f>D342+D343</f>
        <v>195</v>
      </c>
      <c r="E341" s="68">
        <f aca="true" t="shared" si="158" ref="E341:R341">E342+E343</f>
        <v>171</v>
      </c>
      <c r="F341" s="68">
        <f t="shared" si="158"/>
        <v>0</v>
      </c>
      <c r="G341" s="68">
        <f t="shared" si="158"/>
        <v>0</v>
      </c>
      <c r="H341" s="68">
        <f t="shared" si="158"/>
        <v>0</v>
      </c>
      <c r="I341" s="68">
        <f t="shared" si="158"/>
        <v>0</v>
      </c>
      <c r="J341" s="68">
        <f t="shared" si="158"/>
        <v>0</v>
      </c>
      <c r="K341" s="68">
        <f t="shared" si="158"/>
        <v>0</v>
      </c>
      <c r="L341" s="68">
        <f t="shared" si="158"/>
        <v>0</v>
      </c>
      <c r="M341" s="68">
        <f t="shared" si="158"/>
        <v>0</v>
      </c>
      <c r="N341" s="68">
        <f t="shared" si="158"/>
        <v>-24</v>
      </c>
      <c r="O341" s="68">
        <f t="shared" si="158"/>
        <v>0</v>
      </c>
      <c r="P341" s="68">
        <f>P342+P343</f>
        <v>0</v>
      </c>
      <c r="Q341" s="68">
        <f>Q342+Q343</f>
        <v>0</v>
      </c>
      <c r="R341" s="68">
        <f t="shared" si="158"/>
        <v>0</v>
      </c>
    </row>
    <row r="342" spans="1:18" s="21" customFormat="1" ht="12.75" hidden="1">
      <c r="A342" s="66"/>
      <c r="B342" s="41" t="s">
        <v>6</v>
      </c>
      <c r="C342" s="67" t="s">
        <v>7</v>
      </c>
      <c r="D342" s="68">
        <f>150</f>
        <v>150</v>
      </c>
      <c r="E342" s="64">
        <f>D342+SUM(F342:R342)</f>
        <v>150</v>
      </c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</row>
    <row r="343" spans="1:18" s="21" customFormat="1" ht="12.75" hidden="1">
      <c r="A343" s="66"/>
      <c r="B343" s="41" t="s">
        <v>4</v>
      </c>
      <c r="C343" s="67" t="s">
        <v>5</v>
      </c>
      <c r="D343" s="68">
        <f>45</f>
        <v>45</v>
      </c>
      <c r="E343" s="64">
        <f>D343+SUM(F343:R343)</f>
        <v>21</v>
      </c>
      <c r="F343" s="68"/>
      <c r="G343" s="68"/>
      <c r="H343" s="68"/>
      <c r="I343" s="68"/>
      <c r="J343" s="68"/>
      <c r="K343" s="68"/>
      <c r="L343" s="68"/>
      <c r="M343" s="68"/>
      <c r="N343" s="68">
        <f>-24</f>
        <v>-24</v>
      </c>
      <c r="O343" s="68"/>
      <c r="P343" s="68"/>
      <c r="Q343" s="68"/>
      <c r="R343" s="68"/>
    </row>
    <row r="344" spans="1:18" s="21" customFormat="1" ht="12.75" hidden="1">
      <c r="A344" s="66" t="s">
        <v>428</v>
      </c>
      <c r="B344" s="41"/>
      <c r="C344" s="105" t="s">
        <v>96</v>
      </c>
      <c r="D344" s="68">
        <f>D345</f>
        <v>85</v>
      </c>
      <c r="E344" s="68">
        <f aca="true" t="shared" si="159" ref="E344:R344">E345</f>
        <v>85</v>
      </c>
      <c r="F344" s="68">
        <f t="shared" si="159"/>
        <v>0</v>
      </c>
      <c r="G344" s="68">
        <f t="shared" si="159"/>
        <v>0</v>
      </c>
      <c r="H344" s="68">
        <f t="shared" si="159"/>
        <v>0</v>
      </c>
      <c r="I344" s="68">
        <f t="shared" si="159"/>
        <v>0</v>
      </c>
      <c r="J344" s="68">
        <f t="shared" si="159"/>
        <v>0</v>
      </c>
      <c r="K344" s="68">
        <f t="shared" si="159"/>
        <v>0</v>
      </c>
      <c r="L344" s="68">
        <f t="shared" si="159"/>
        <v>0</v>
      </c>
      <c r="M344" s="68">
        <f t="shared" si="159"/>
        <v>0</v>
      </c>
      <c r="N344" s="68">
        <f t="shared" si="159"/>
        <v>0</v>
      </c>
      <c r="O344" s="68">
        <f t="shared" si="159"/>
        <v>0</v>
      </c>
      <c r="P344" s="68">
        <f t="shared" si="159"/>
        <v>0</v>
      </c>
      <c r="Q344" s="68">
        <f t="shared" si="159"/>
        <v>0</v>
      </c>
      <c r="R344" s="68">
        <f t="shared" si="159"/>
        <v>0</v>
      </c>
    </row>
    <row r="345" spans="1:18" s="21" customFormat="1" ht="25.5" hidden="1">
      <c r="A345" s="66"/>
      <c r="B345" s="41" t="s">
        <v>3</v>
      </c>
      <c r="C345" s="67" t="s">
        <v>95</v>
      </c>
      <c r="D345" s="68">
        <f>85</f>
        <v>85</v>
      </c>
      <c r="E345" s="64">
        <f>D345+SUM(F345:R345)</f>
        <v>85</v>
      </c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</row>
    <row r="346" spans="1:18" s="21" customFormat="1" ht="25.5" hidden="1">
      <c r="A346" s="86" t="s">
        <v>429</v>
      </c>
      <c r="B346" s="56"/>
      <c r="C346" s="105" t="s">
        <v>105</v>
      </c>
      <c r="D346" s="68">
        <f>D347</f>
        <v>309.2</v>
      </c>
      <c r="E346" s="68">
        <f aca="true" t="shared" si="160" ref="E346:R346">E347</f>
        <v>309.2</v>
      </c>
      <c r="F346" s="68">
        <f t="shared" si="160"/>
        <v>0</v>
      </c>
      <c r="G346" s="68">
        <f t="shared" si="160"/>
        <v>0</v>
      </c>
      <c r="H346" s="68">
        <f t="shared" si="160"/>
        <v>0</v>
      </c>
      <c r="I346" s="68">
        <f t="shared" si="160"/>
        <v>0</v>
      </c>
      <c r="J346" s="68">
        <f t="shared" si="160"/>
        <v>0</v>
      </c>
      <c r="K346" s="68">
        <f t="shared" si="160"/>
        <v>0</v>
      </c>
      <c r="L346" s="68">
        <f t="shared" si="160"/>
        <v>0</v>
      </c>
      <c r="M346" s="68">
        <f t="shared" si="160"/>
        <v>0</v>
      </c>
      <c r="N346" s="68">
        <f t="shared" si="160"/>
        <v>0</v>
      </c>
      <c r="O346" s="68">
        <f t="shared" si="160"/>
        <v>0</v>
      </c>
      <c r="P346" s="68">
        <f t="shared" si="160"/>
        <v>0</v>
      </c>
      <c r="Q346" s="68">
        <f t="shared" si="160"/>
        <v>0</v>
      </c>
      <c r="R346" s="68">
        <f t="shared" si="160"/>
        <v>0</v>
      </c>
    </row>
    <row r="347" spans="1:18" s="21" customFormat="1" ht="12.75" hidden="1">
      <c r="A347" s="66"/>
      <c r="B347" s="41" t="s">
        <v>6</v>
      </c>
      <c r="C347" s="67" t="s">
        <v>7</v>
      </c>
      <c r="D347" s="68">
        <f>309.2</f>
        <v>309.2</v>
      </c>
      <c r="E347" s="64">
        <f>D347+SUM(F347:R347)</f>
        <v>309.2</v>
      </c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</row>
    <row r="348" spans="1:18" s="21" customFormat="1" ht="25.5" hidden="1">
      <c r="A348" s="66" t="s">
        <v>469</v>
      </c>
      <c r="B348" s="41"/>
      <c r="C348" s="67" t="s">
        <v>470</v>
      </c>
      <c r="D348" s="68">
        <f>D349</f>
        <v>0</v>
      </c>
      <c r="E348" s="68">
        <f aca="true" t="shared" si="161" ref="E348:R348">E349</f>
        <v>72.115</v>
      </c>
      <c r="F348" s="68">
        <f t="shared" si="161"/>
        <v>0</v>
      </c>
      <c r="G348" s="68">
        <f t="shared" si="161"/>
        <v>0</v>
      </c>
      <c r="H348" s="68">
        <f t="shared" si="161"/>
        <v>0</v>
      </c>
      <c r="I348" s="68">
        <f t="shared" si="161"/>
        <v>0</v>
      </c>
      <c r="J348" s="68">
        <f t="shared" si="161"/>
        <v>0</v>
      </c>
      <c r="K348" s="68">
        <f t="shared" si="161"/>
        <v>0</v>
      </c>
      <c r="L348" s="68">
        <f t="shared" si="161"/>
        <v>72.115</v>
      </c>
      <c r="M348" s="68">
        <f t="shared" si="161"/>
        <v>0</v>
      </c>
      <c r="N348" s="68">
        <f t="shared" si="161"/>
        <v>0</v>
      </c>
      <c r="O348" s="68">
        <f t="shared" si="161"/>
        <v>0</v>
      </c>
      <c r="P348" s="68">
        <f t="shared" si="161"/>
        <v>0</v>
      </c>
      <c r="Q348" s="68">
        <f t="shared" si="161"/>
        <v>0</v>
      </c>
      <c r="R348" s="68">
        <f t="shared" si="161"/>
        <v>0</v>
      </c>
    </row>
    <row r="349" spans="1:18" s="21" customFormat="1" ht="25.5" hidden="1">
      <c r="A349" s="66"/>
      <c r="B349" s="41" t="s">
        <v>11</v>
      </c>
      <c r="C349" s="67" t="s">
        <v>12</v>
      </c>
      <c r="D349" s="68"/>
      <c r="E349" s="64">
        <f>D349+SUM(F349:R349)</f>
        <v>72.115</v>
      </c>
      <c r="F349" s="68"/>
      <c r="G349" s="68"/>
      <c r="H349" s="68"/>
      <c r="I349" s="68"/>
      <c r="J349" s="68"/>
      <c r="K349" s="68"/>
      <c r="L349" s="68">
        <v>72.115</v>
      </c>
      <c r="M349" s="68"/>
      <c r="N349" s="68"/>
      <c r="O349" s="68"/>
      <c r="P349" s="68"/>
      <c r="Q349" s="68"/>
      <c r="R349" s="68"/>
    </row>
    <row r="350" spans="1:18" s="21" customFormat="1" ht="25.5" hidden="1">
      <c r="A350" s="66" t="s">
        <v>548</v>
      </c>
      <c r="B350" s="41"/>
      <c r="C350" s="67" t="s">
        <v>470</v>
      </c>
      <c r="D350" s="68">
        <f>D351</f>
        <v>0</v>
      </c>
      <c r="E350" s="68">
        <f aca="true" t="shared" si="162" ref="E350:R350">E351</f>
        <v>30</v>
      </c>
      <c r="F350" s="68">
        <f t="shared" si="162"/>
        <v>0</v>
      </c>
      <c r="G350" s="68">
        <f t="shared" si="162"/>
        <v>0</v>
      </c>
      <c r="H350" s="68">
        <f t="shared" si="162"/>
        <v>0</v>
      </c>
      <c r="I350" s="68">
        <f t="shared" si="162"/>
        <v>0</v>
      </c>
      <c r="J350" s="68">
        <f t="shared" si="162"/>
        <v>0</v>
      </c>
      <c r="K350" s="68">
        <f t="shared" si="162"/>
        <v>0</v>
      </c>
      <c r="L350" s="68">
        <f t="shared" si="162"/>
        <v>0</v>
      </c>
      <c r="M350" s="68">
        <f t="shared" si="162"/>
        <v>30</v>
      </c>
      <c r="N350" s="68">
        <f t="shared" si="162"/>
        <v>0</v>
      </c>
      <c r="O350" s="68">
        <f t="shared" si="162"/>
        <v>0</v>
      </c>
      <c r="P350" s="68">
        <f t="shared" si="162"/>
        <v>0</v>
      </c>
      <c r="Q350" s="68">
        <f t="shared" si="162"/>
        <v>0</v>
      </c>
      <c r="R350" s="68">
        <f t="shared" si="162"/>
        <v>0</v>
      </c>
    </row>
    <row r="351" spans="1:18" s="21" customFormat="1" ht="25.5" hidden="1">
      <c r="A351" s="66"/>
      <c r="B351" s="41" t="s">
        <v>11</v>
      </c>
      <c r="C351" s="67" t="s">
        <v>12</v>
      </c>
      <c r="D351" s="68"/>
      <c r="E351" s="64">
        <f>D351+SUM(F351:R351)</f>
        <v>30</v>
      </c>
      <c r="F351" s="68"/>
      <c r="G351" s="68"/>
      <c r="H351" s="68"/>
      <c r="I351" s="68"/>
      <c r="J351" s="68"/>
      <c r="K351" s="68"/>
      <c r="L351" s="68"/>
      <c r="M351" s="68">
        <f>30</f>
        <v>30</v>
      </c>
      <c r="N351" s="68"/>
      <c r="O351" s="68"/>
      <c r="P351" s="68"/>
      <c r="Q351" s="68"/>
      <c r="R351" s="68"/>
    </row>
    <row r="352" spans="1:18" s="21" customFormat="1" ht="12.75">
      <c r="A352" s="66" t="s">
        <v>549</v>
      </c>
      <c r="B352" s="41"/>
      <c r="C352" s="67" t="s">
        <v>542</v>
      </c>
      <c r="D352" s="68">
        <f>D353</f>
        <v>0</v>
      </c>
      <c r="E352" s="68">
        <f aca="true" t="shared" si="163" ref="E352:R352">E353</f>
        <v>0</v>
      </c>
      <c r="F352" s="68">
        <f t="shared" si="163"/>
        <v>0</v>
      </c>
      <c r="G352" s="68">
        <f t="shared" si="163"/>
        <v>0</v>
      </c>
      <c r="H352" s="68">
        <f t="shared" si="163"/>
        <v>0</v>
      </c>
      <c r="I352" s="68">
        <f t="shared" si="163"/>
        <v>0</v>
      </c>
      <c r="J352" s="68">
        <f t="shared" si="163"/>
        <v>0</v>
      </c>
      <c r="K352" s="68">
        <f t="shared" si="163"/>
        <v>0</v>
      </c>
      <c r="L352" s="68">
        <f t="shared" si="163"/>
        <v>0</v>
      </c>
      <c r="M352" s="68">
        <f t="shared" si="163"/>
        <v>450</v>
      </c>
      <c r="N352" s="68">
        <f t="shared" si="163"/>
        <v>0</v>
      </c>
      <c r="O352" s="68">
        <f t="shared" si="163"/>
        <v>0</v>
      </c>
      <c r="P352" s="68">
        <f t="shared" si="163"/>
        <v>0</v>
      </c>
      <c r="Q352" s="68">
        <f t="shared" si="163"/>
        <v>-450</v>
      </c>
      <c r="R352" s="68">
        <f t="shared" si="163"/>
        <v>0</v>
      </c>
    </row>
    <row r="353" spans="1:18" s="21" customFormat="1" ht="25.5">
      <c r="A353" s="66"/>
      <c r="B353" s="41" t="s">
        <v>3</v>
      </c>
      <c r="C353" s="67" t="s">
        <v>95</v>
      </c>
      <c r="D353" s="68"/>
      <c r="E353" s="64">
        <f>D353+SUM(F353:R353)</f>
        <v>0</v>
      </c>
      <c r="F353" s="68"/>
      <c r="G353" s="68"/>
      <c r="H353" s="68"/>
      <c r="I353" s="68"/>
      <c r="J353" s="68"/>
      <c r="K353" s="68"/>
      <c r="L353" s="68"/>
      <c r="M353" s="68">
        <f>450</f>
        <v>450</v>
      </c>
      <c r="N353" s="68"/>
      <c r="O353" s="68"/>
      <c r="P353" s="68"/>
      <c r="Q353" s="68">
        <v>-450</v>
      </c>
      <c r="R353" s="68"/>
    </row>
    <row r="354" spans="1:18" s="21" customFormat="1" ht="12.75">
      <c r="A354" s="66" t="s">
        <v>541</v>
      </c>
      <c r="B354" s="41"/>
      <c r="C354" s="67" t="s">
        <v>542</v>
      </c>
      <c r="D354" s="68">
        <f>D355</f>
        <v>0</v>
      </c>
      <c r="E354" s="68">
        <f aca="true" t="shared" si="164" ref="E354:R354">E355</f>
        <v>500.2</v>
      </c>
      <c r="F354" s="68">
        <f t="shared" si="164"/>
        <v>0</v>
      </c>
      <c r="G354" s="68">
        <f t="shared" si="164"/>
        <v>0</v>
      </c>
      <c r="H354" s="68">
        <f t="shared" si="164"/>
        <v>0</v>
      </c>
      <c r="I354" s="68">
        <f t="shared" si="164"/>
        <v>0</v>
      </c>
      <c r="J354" s="68">
        <f t="shared" si="164"/>
        <v>0.3</v>
      </c>
      <c r="K354" s="68">
        <f t="shared" si="164"/>
        <v>0</v>
      </c>
      <c r="L354" s="68">
        <f t="shared" si="164"/>
        <v>0</v>
      </c>
      <c r="M354" s="68">
        <f t="shared" si="164"/>
        <v>49.9</v>
      </c>
      <c r="N354" s="68">
        <f t="shared" si="164"/>
        <v>0</v>
      </c>
      <c r="O354" s="68">
        <f t="shared" si="164"/>
        <v>0</v>
      </c>
      <c r="P354" s="68">
        <f t="shared" si="164"/>
        <v>0</v>
      </c>
      <c r="Q354" s="68">
        <f t="shared" si="164"/>
        <v>450</v>
      </c>
      <c r="R354" s="68">
        <f t="shared" si="164"/>
        <v>0</v>
      </c>
    </row>
    <row r="355" spans="1:18" s="21" customFormat="1" ht="25.5">
      <c r="A355" s="66"/>
      <c r="B355" s="41" t="s">
        <v>3</v>
      </c>
      <c r="C355" s="67" t="s">
        <v>95</v>
      </c>
      <c r="D355" s="68"/>
      <c r="E355" s="64">
        <f>D355+SUM(F355:R355)</f>
        <v>500.2</v>
      </c>
      <c r="F355" s="68"/>
      <c r="G355" s="68"/>
      <c r="H355" s="68"/>
      <c r="I355" s="68"/>
      <c r="J355" s="68">
        <v>0.3</v>
      </c>
      <c r="K355" s="68"/>
      <c r="L355" s="68"/>
      <c r="M355" s="68">
        <v>49.9</v>
      </c>
      <c r="N355" s="68"/>
      <c r="O355" s="68"/>
      <c r="P355" s="68"/>
      <c r="Q355" s="68">
        <v>450</v>
      </c>
      <c r="R355" s="68"/>
    </row>
    <row r="356" spans="1:18" s="21" customFormat="1" ht="24.75" customHeight="1" hidden="1">
      <c r="A356" s="63" t="s">
        <v>430</v>
      </c>
      <c r="B356" s="11"/>
      <c r="C356" s="60" t="s">
        <v>144</v>
      </c>
      <c r="D356" s="73">
        <f>D357</f>
        <v>0</v>
      </c>
      <c r="E356" s="73">
        <f aca="true" t="shared" si="165" ref="E356:R357">E357</f>
        <v>1134.21</v>
      </c>
      <c r="F356" s="73">
        <f t="shared" si="165"/>
        <v>0</v>
      </c>
      <c r="G356" s="73">
        <f t="shared" si="165"/>
        <v>531.24</v>
      </c>
      <c r="H356" s="73">
        <f t="shared" si="165"/>
        <v>0</v>
      </c>
      <c r="I356" s="73">
        <f t="shared" si="165"/>
        <v>0</v>
      </c>
      <c r="J356" s="73">
        <f t="shared" si="165"/>
        <v>0</v>
      </c>
      <c r="K356" s="73">
        <f t="shared" si="165"/>
        <v>0</v>
      </c>
      <c r="L356" s="73">
        <f t="shared" si="165"/>
        <v>0</v>
      </c>
      <c r="M356" s="73">
        <f t="shared" si="165"/>
        <v>602.97</v>
      </c>
      <c r="N356" s="73">
        <f t="shared" si="165"/>
        <v>0</v>
      </c>
      <c r="O356" s="73">
        <f t="shared" si="165"/>
        <v>0</v>
      </c>
      <c r="P356" s="73">
        <f t="shared" si="165"/>
        <v>0</v>
      </c>
      <c r="Q356" s="73">
        <f t="shared" si="165"/>
        <v>0</v>
      </c>
      <c r="R356" s="73">
        <f t="shared" si="165"/>
        <v>0</v>
      </c>
    </row>
    <row r="357" spans="1:18" s="21" customFormat="1" ht="44.25" customHeight="1" hidden="1">
      <c r="A357" s="66" t="s">
        <v>431</v>
      </c>
      <c r="B357" s="41"/>
      <c r="C357" s="57" t="s">
        <v>145</v>
      </c>
      <c r="D357" s="68">
        <f>D358</f>
        <v>0</v>
      </c>
      <c r="E357" s="68">
        <f t="shared" si="165"/>
        <v>1134.21</v>
      </c>
      <c r="F357" s="68">
        <f t="shared" si="165"/>
        <v>0</v>
      </c>
      <c r="G357" s="68">
        <f t="shared" si="165"/>
        <v>531.24</v>
      </c>
      <c r="H357" s="68">
        <f t="shared" si="165"/>
        <v>0</v>
      </c>
      <c r="I357" s="68">
        <f t="shared" si="165"/>
        <v>0</v>
      </c>
      <c r="J357" s="68">
        <f t="shared" si="165"/>
        <v>0</v>
      </c>
      <c r="K357" s="68">
        <f t="shared" si="165"/>
        <v>0</v>
      </c>
      <c r="L357" s="68">
        <f t="shared" si="165"/>
        <v>0</v>
      </c>
      <c r="M357" s="68">
        <f t="shared" si="165"/>
        <v>602.97</v>
      </c>
      <c r="N357" s="68">
        <f t="shared" si="165"/>
        <v>0</v>
      </c>
      <c r="O357" s="68">
        <f t="shared" si="165"/>
        <v>0</v>
      </c>
      <c r="P357" s="68">
        <f t="shared" si="165"/>
        <v>0</v>
      </c>
      <c r="Q357" s="68">
        <f t="shared" si="165"/>
        <v>0</v>
      </c>
      <c r="R357" s="68">
        <f t="shared" si="165"/>
        <v>0</v>
      </c>
    </row>
    <row r="358" spans="1:18" s="21" customFormat="1" ht="12.75" hidden="1">
      <c r="A358" s="66"/>
      <c r="B358" s="41" t="s">
        <v>4</v>
      </c>
      <c r="C358" s="67" t="s">
        <v>5</v>
      </c>
      <c r="D358" s="68"/>
      <c r="E358" s="64">
        <f>D358+SUM(F358:R358)</f>
        <v>1134.21</v>
      </c>
      <c r="F358" s="68"/>
      <c r="G358" s="68">
        <v>531.24</v>
      </c>
      <c r="H358" s="69"/>
      <c r="I358" s="69"/>
      <c r="J358" s="68"/>
      <c r="K358" s="68"/>
      <c r="L358" s="68"/>
      <c r="M358" s="68">
        <v>602.97</v>
      </c>
      <c r="N358" s="68"/>
      <c r="O358" s="68"/>
      <c r="P358" s="68"/>
      <c r="Q358" s="68"/>
      <c r="R358" s="68"/>
    </row>
    <row r="359" spans="1:18" s="21" customFormat="1" ht="12.75">
      <c r="A359" s="63" t="s">
        <v>432</v>
      </c>
      <c r="B359" s="11"/>
      <c r="C359" s="111" t="s">
        <v>146</v>
      </c>
      <c r="D359" s="73">
        <f>D360+D362+D364</f>
        <v>246</v>
      </c>
      <c r="E359" s="73">
        <f aca="true" t="shared" si="166" ref="E359:R359">E360+E362+E364</f>
        <v>331.6</v>
      </c>
      <c r="F359" s="73">
        <f t="shared" si="166"/>
        <v>0</v>
      </c>
      <c r="G359" s="73">
        <f t="shared" si="166"/>
        <v>31.6</v>
      </c>
      <c r="H359" s="73">
        <f t="shared" si="166"/>
        <v>0</v>
      </c>
      <c r="I359" s="73">
        <f t="shared" si="166"/>
        <v>0</v>
      </c>
      <c r="J359" s="73">
        <f t="shared" si="166"/>
        <v>0</v>
      </c>
      <c r="K359" s="73">
        <f t="shared" si="166"/>
        <v>54</v>
      </c>
      <c r="L359" s="73">
        <f t="shared" si="166"/>
        <v>0</v>
      </c>
      <c r="M359" s="73">
        <f t="shared" si="166"/>
        <v>0</v>
      </c>
      <c r="N359" s="73">
        <f t="shared" si="166"/>
        <v>0</v>
      </c>
      <c r="O359" s="73">
        <f t="shared" si="166"/>
        <v>0</v>
      </c>
      <c r="P359" s="73">
        <f>P360+P362+P364</f>
        <v>0</v>
      </c>
      <c r="Q359" s="73">
        <f>Q360+Q362+Q364</f>
        <v>0</v>
      </c>
      <c r="R359" s="73">
        <f t="shared" si="166"/>
        <v>0</v>
      </c>
    </row>
    <row r="360" spans="1:18" s="21" customFormat="1" ht="51" hidden="1">
      <c r="A360" s="66" t="s">
        <v>436</v>
      </c>
      <c r="B360" s="41"/>
      <c r="C360" s="75" t="s">
        <v>147</v>
      </c>
      <c r="D360" s="68">
        <f aca="true" t="shared" si="167" ref="D360:R360">D361</f>
        <v>246</v>
      </c>
      <c r="E360" s="68">
        <f t="shared" si="167"/>
        <v>277.6</v>
      </c>
      <c r="F360" s="68">
        <f t="shared" si="167"/>
        <v>0</v>
      </c>
      <c r="G360" s="68">
        <f t="shared" si="167"/>
        <v>31.6</v>
      </c>
      <c r="H360" s="68">
        <f t="shared" si="167"/>
        <v>0</v>
      </c>
      <c r="I360" s="68">
        <f t="shared" si="167"/>
        <v>0</v>
      </c>
      <c r="J360" s="68">
        <f t="shared" si="167"/>
        <v>0</v>
      </c>
      <c r="K360" s="68">
        <f t="shared" si="167"/>
        <v>0</v>
      </c>
      <c r="L360" s="68">
        <f t="shared" si="167"/>
        <v>0</v>
      </c>
      <c r="M360" s="68">
        <f t="shared" si="167"/>
        <v>0</v>
      </c>
      <c r="N360" s="68">
        <f t="shared" si="167"/>
        <v>0</v>
      </c>
      <c r="O360" s="68">
        <f t="shared" si="167"/>
        <v>0</v>
      </c>
      <c r="P360" s="68">
        <f t="shared" si="167"/>
        <v>0</v>
      </c>
      <c r="Q360" s="68">
        <f t="shared" si="167"/>
        <v>0</v>
      </c>
      <c r="R360" s="68">
        <f t="shared" si="167"/>
        <v>0</v>
      </c>
    </row>
    <row r="361" spans="1:18" s="21" customFormat="1" ht="12.75" hidden="1">
      <c r="A361" s="66"/>
      <c r="B361" s="41" t="s">
        <v>6</v>
      </c>
      <c r="C361" s="67" t="s">
        <v>7</v>
      </c>
      <c r="D361" s="68">
        <f>246</f>
        <v>246</v>
      </c>
      <c r="E361" s="64">
        <f>D361+SUM(F361:R361)</f>
        <v>277.6</v>
      </c>
      <c r="F361" s="68"/>
      <c r="G361" s="68">
        <f>31.6</f>
        <v>31.6</v>
      </c>
      <c r="H361" s="69"/>
      <c r="I361" s="69"/>
      <c r="J361" s="68"/>
      <c r="K361" s="68"/>
      <c r="L361" s="68"/>
      <c r="M361" s="68"/>
      <c r="N361" s="68"/>
      <c r="O361" s="68"/>
      <c r="P361" s="68"/>
      <c r="Q361" s="68"/>
      <c r="R361" s="68"/>
    </row>
    <row r="362" spans="1:18" s="21" customFormat="1" ht="51">
      <c r="A362" s="66" t="s">
        <v>461</v>
      </c>
      <c r="B362" s="41"/>
      <c r="C362" s="109" t="s">
        <v>463</v>
      </c>
      <c r="D362" s="68">
        <f>D363</f>
        <v>0</v>
      </c>
      <c r="E362" s="68">
        <f aca="true" t="shared" si="168" ref="E362:R362">E363</f>
        <v>54</v>
      </c>
      <c r="F362" s="68">
        <f t="shared" si="168"/>
        <v>0</v>
      </c>
      <c r="G362" s="68">
        <f t="shared" si="168"/>
        <v>0</v>
      </c>
      <c r="H362" s="68">
        <f t="shared" si="168"/>
        <v>0</v>
      </c>
      <c r="I362" s="68">
        <f t="shared" si="168"/>
        <v>0</v>
      </c>
      <c r="J362" s="68">
        <f t="shared" si="168"/>
        <v>0</v>
      </c>
      <c r="K362" s="68">
        <f t="shared" si="168"/>
        <v>18</v>
      </c>
      <c r="L362" s="68">
        <f t="shared" si="168"/>
        <v>0</v>
      </c>
      <c r="M362" s="68">
        <f t="shared" si="168"/>
        <v>0</v>
      </c>
      <c r="N362" s="68">
        <f t="shared" si="168"/>
        <v>0</v>
      </c>
      <c r="O362" s="68">
        <f t="shared" si="168"/>
        <v>0</v>
      </c>
      <c r="P362" s="68">
        <f t="shared" si="168"/>
        <v>0</v>
      </c>
      <c r="Q362" s="68">
        <f t="shared" si="168"/>
        <v>36</v>
      </c>
      <c r="R362" s="68">
        <f t="shared" si="168"/>
        <v>0</v>
      </c>
    </row>
    <row r="363" spans="1:18" s="21" customFormat="1" ht="25.5">
      <c r="A363" s="66"/>
      <c r="B363" s="41" t="s">
        <v>11</v>
      </c>
      <c r="C363" s="67" t="s">
        <v>12</v>
      </c>
      <c r="D363" s="68"/>
      <c r="E363" s="64">
        <f>D363+SUM(F363:R363)</f>
        <v>54</v>
      </c>
      <c r="F363" s="68"/>
      <c r="G363" s="68"/>
      <c r="H363" s="69"/>
      <c r="I363" s="69"/>
      <c r="J363" s="68"/>
      <c r="K363" s="68">
        <f>18</f>
        <v>18</v>
      </c>
      <c r="L363" s="68"/>
      <c r="M363" s="68"/>
      <c r="N363" s="68"/>
      <c r="O363" s="68"/>
      <c r="P363" s="68"/>
      <c r="Q363" s="68">
        <v>36</v>
      </c>
      <c r="R363" s="68"/>
    </row>
    <row r="364" spans="1:18" s="21" customFormat="1" ht="38.25">
      <c r="A364" s="66" t="s">
        <v>462</v>
      </c>
      <c r="B364" s="41"/>
      <c r="C364" s="109" t="s">
        <v>464</v>
      </c>
      <c r="D364" s="68">
        <f>D365</f>
        <v>0</v>
      </c>
      <c r="E364" s="68">
        <f aca="true" t="shared" si="169" ref="E364:R364">E365</f>
        <v>0</v>
      </c>
      <c r="F364" s="68">
        <f t="shared" si="169"/>
        <v>0</v>
      </c>
      <c r="G364" s="68">
        <f t="shared" si="169"/>
        <v>0</v>
      </c>
      <c r="H364" s="68">
        <f t="shared" si="169"/>
        <v>0</v>
      </c>
      <c r="I364" s="68">
        <f t="shared" si="169"/>
        <v>0</v>
      </c>
      <c r="J364" s="68">
        <f t="shared" si="169"/>
        <v>0</v>
      </c>
      <c r="K364" s="68">
        <f t="shared" si="169"/>
        <v>36</v>
      </c>
      <c r="L364" s="68">
        <f t="shared" si="169"/>
        <v>0</v>
      </c>
      <c r="M364" s="68">
        <f t="shared" si="169"/>
        <v>0</v>
      </c>
      <c r="N364" s="68">
        <f t="shared" si="169"/>
        <v>0</v>
      </c>
      <c r="O364" s="68">
        <f t="shared" si="169"/>
        <v>0</v>
      </c>
      <c r="P364" s="68">
        <f t="shared" si="169"/>
        <v>0</v>
      </c>
      <c r="Q364" s="68">
        <f t="shared" si="169"/>
        <v>-36</v>
      </c>
      <c r="R364" s="68">
        <f t="shared" si="169"/>
        <v>0</v>
      </c>
    </row>
    <row r="365" spans="1:18" s="21" customFormat="1" ht="25.5">
      <c r="A365" s="66"/>
      <c r="B365" s="41" t="s">
        <v>11</v>
      </c>
      <c r="C365" s="67" t="s">
        <v>12</v>
      </c>
      <c r="D365" s="68"/>
      <c r="E365" s="64">
        <f>D365+SUM(F365:R365)</f>
        <v>0</v>
      </c>
      <c r="F365" s="68"/>
      <c r="G365" s="68"/>
      <c r="H365" s="69"/>
      <c r="I365" s="69"/>
      <c r="J365" s="68"/>
      <c r="K365" s="68">
        <f>36</f>
        <v>36</v>
      </c>
      <c r="L365" s="68"/>
      <c r="M365" s="68"/>
      <c r="N365" s="68"/>
      <c r="O365" s="68"/>
      <c r="P365" s="68"/>
      <c r="Q365" s="68">
        <v>-36</v>
      </c>
      <c r="R365" s="68"/>
    </row>
    <row r="366" spans="1:18" s="21" customFormat="1" ht="63.75" hidden="1">
      <c r="A366" s="63" t="s">
        <v>488</v>
      </c>
      <c r="B366" s="41"/>
      <c r="C366" s="135" t="s">
        <v>490</v>
      </c>
      <c r="D366" s="73">
        <f>D367+D369+D371</f>
        <v>327.3</v>
      </c>
      <c r="E366" s="73">
        <f aca="true" t="shared" si="170" ref="E366:R366">E367+E369+E371</f>
        <v>327.3</v>
      </c>
      <c r="F366" s="73">
        <f t="shared" si="170"/>
        <v>0</v>
      </c>
      <c r="G366" s="73">
        <f t="shared" si="170"/>
        <v>0</v>
      </c>
      <c r="H366" s="73">
        <f t="shared" si="170"/>
        <v>0</v>
      </c>
      <c r="I366" s="73">
        <f t="shared" si="170"/>
        <v>0</v>
      </c>
      <c r="J366" s="73">
        <f t="shared" si="170"/>
        <v>0</v>
      </c>
      <c r="K366" s="73">
        <f t="shared" si="170"/>
        <v>0</v>
      </c>
      <c r="L366" s="73">
        <f t="shared" si="170"/>
        <v>0</v>
      </c>
      <c r="M366" s="73">
        <f t="shared" si="170"/>
        <v>0</v>
      </c>
      <c r="N366" s="73">
        <f t="shared" si="170"/>
        <v>0</v>
      </c>
      <c r="O366" s="73">
        <f t="shared" si="170"/>
        <v>0</v>
      </c>
      <c r="P366" s="73">
        <f>P367+P369+P371</f>
        <v>0</v>
      </c>
      <c r="Q366" s="73">
        <f>Q367+Q369+Q371</f>
        <v>0</v>
      </c>
      <c r="R366" s="73">
        <f t="shared" si="170"/>
        <v>0</v>
      </c>
    </row>
    <row r="367" spans="1:18" s="21" customFormat="1" ht="51" hidden="1">
      <c r="A367" s="66" t="s">
        <v>489</v>
      </c>
      <c r="B367" s="41"/>
      <c r="C367" s="134" t="s">
        <v>491</v>
      </c>
      <c r="D367" s="68">
        <f>D368</f>
        <v>327.3</v>
      </c>
      <c r="E367" s="68">
        <f aca="true" t="shared" si="171" ref="E367:R367">E368</f>
        <v>257.3</v>
      </c>
      <c r="F367" s="68">
        <f t="shared" si="171"/>
        <v>0</v>
      </c>
      <c r="G367" s="68">
        <f t="shared" si="171"/>
        <v>0</v>
      </c>
      <c r="H367" s="68">
        <f t="shared" si="171"/>
        <v>-70</v>
      </c>
      <c r="I367" s="68">
        <f t="shared" si="171"/>
        <v>0</v>
      </c>
      <c r="J367" s="68">
        <f t="shared" si="171"/>
        <v>0</v>
      </c>
      <c r="K367" s="68">
        <f t="shared" si="171"/>
        <v>0</v>
      </c>
      <c r="L367" s="68">
        <f t="shared" si="171"/>
        <v>0</v>
      </c>
      <c r="M367" s="68">
        <f t="shared" si="171"/>
        <v>0</v>
      </c>
      <c r="N367" s="68">
        <f t="shared" si="171"/>
        <v>0</v>
      </c>
      <c r="O367" s="68">
        <f t="shared" si="171"/>
        <v>0</v>
      </c>
      <c r="P367" s="68">
        <f t="shared" si="171"/>
        <v>0</v>
      </c>
      <c r="Q367" s="68">
        <f t="shared" si="171"/>
        <v>0</v>
      </c>
      <c r="R367" s="68">
        <f t="shared" si="171"/>
        <v>0</v>
      </c>
    </row>
    <row r="368" spans="1:18" s="21" customFormat="1" ht="12.75" hidden="1">
      <c r="A368" s="66"/>
      <c r="B368" s="41" t="s">
        <v>9</v>
      </c>
      <c r="C368" s="67" t="s">
        <v>37</v>
      </c>
      <c r="D368" s="68">
        <v>327.3</v>
      </c>
      <c r="E368" s="64">
        <f>D368+SUM(F368:R368)</f>
        <v>257.3</v>
      </c>
      <c r="F368" s="68"/>
      <c r="G368" s="68"/>
      <c r="H368" s="69">
        <f>-277.3+207.3</f>
        <v>-70</v>
      </c>
      <c r="I368" s="69"/>
      <c r="J368" s="68"/>
      <c r="K368" s="68"/>
      <c r="L368" s="68"/>
      <c r="M368" s="68"/>
      <c r="N368" s="68"/>
      <c r="O368" s="68"/>
      <c r="P368" s="68"/>
      <c r="Q368" s="68"/>
      <c r="R368" s="68"/>
    </row>
    <row r="369" spans="1:18" s="21" customFormat="1" ht="51" hidden="1">
      <c r="A369" s="66" t="s">
        <v>524</v>
      </c>
      <c r="B369" s="41"/>
      <c r="C369" s="134" t="s">
        <v>491</v>
      </c>
      <c r="D369" s="68">
        <f>D370</f>
        <v>0</v>
      </c>
      <c r="E369" s="68">
        <f>E370</f>
        <v>35</v>
      </c>
      <c r="F369" s="68">
        <f aca="true" t="shared" si="172" ref="F369:R369">F370</f>
        <v>0</v>
      </c>
      <c r="G369" s="68">
        <f t="shared" si="172"/>
        <v>0</v>
      </c>
      <c r="H369" s="68">
        <f t="shared" si="172"/>
        <v>35</v>
      </c>
      <c r="I369" s="68">
        <f t="shared" si="172"/>
        <v>0</v>
      </c>
      <c r="J369" s="68">
        <f t="shared" si="172"/>
        <v>0</v>
      </c>
      <c r="K369" s="68">
        <f t="shared" si="172"/>
        <v>0</v>
      </c>
      <c r="L369" s="68">
        <f t="shared" si="172"/>
        <v>0</v>
      </c>
      <c r="M369" s="68">
        <f t="shared" si="172"/>
        <v>0</v>
      </c>
      <c r="N369" s="68">
        <f t="shared" si="172"/>
        <v>0</v>
      </c>
      <c r="O369" s="68">
        <f t="shared" si="172"/>
        <v>0</v>
      </c>
      <c r="P369" s="68">
        <f t="shared" si="172"/>
        <v>0</v>
      </c>
      <c r="Q369" s="68">
        <f t="shared" si="172"/>
        <v>0</v>
      </c>
      <c r="R369" s="68">
        <f t="shared" si="172"/>
        <v>0</v>
      </c>
    </row>
    <row r="370" spans="1:18" s="21" customFormat="1" ht="12.75" hidden="1">
      <c r="A370" s="66"/>
      <c r="B370" s="41" t="s">
        <v>9</v>
      </c>
      <c r="C370" s="67" t="s">
        <v>37</v>
      </c>
      <c r="D370" s="68"/>
      <c r="E370" s="64">
        <f>D370+SUM(F370:R370)</f>
        <v>35</v>
      </c>
      <c r="F370" s="68"/>
      <c r="G370" s="68"/>
      <c r="H370" s="69">
        <v>35</v>
      </c>
      <c r="I370" s="69"/>
      <c r="J370" s="68"/>
      <c r="K370" s="68"/>
      <c r="L370" s="68"/>
      <c r="M370" s="68"/>
      <c r="N370" s="68"/>
      <c r="O370" s="68"/>
      <c r="P370" s="68"/>
      <c r="Q370" s="68"/>
      <c r="R370" s="68"/>
    </row>
    <row r="371" spans="1:18" s="21" customFormat="1" ht="51" hidden="1">
      <c r="A371" s="66" t="s">
        <v>525</v>
      </c>
      <c r="B371" s="41"/>
      <c r="C371" s="134" t="s">
        <v>491</v>
      </c>
      <c r="D371" s="68">
        <f>D372</f>
        <v>0</v>
      </c>
      <c r="E371" s="68">
        <f aca="true" t="shared" si="173" ref="E371:R371">E372</f>
        <v>35</v>
      </c>
      <c r="F371" s="68">
        <f t="shared" si="173"/>
        <v>0</v>
      </c>
      <c r="G371" s="68">
        <f t="shared" si="173"/>
        <v>0</v>
      </c>
      <c r="H371" s="68">
        <f t="shared" si="173"/>
        <v>35</v>
      </c>
      <c r="I371" s="68">
        <f t="shared" si="173"/>
        <v>0</v>
      </c>
      <c r="J371" s="68">
        <f t="shared" si="173"/>
        <v>0</v>
      </c>
      <c r="K371" s="68">
        <f t="shared" si="173"/>
        <v>0</v>
      </c>
      <c r="L371" s="68">
        <f t="shared" si="173"/>
        <v>0</v>
      </c>
      <c r="M371" s="68">
        <f t="shared" si="173"/>
        <v>0</v>
      </c>
      <c r="N371" s="68">
        <f t="shared" si="173"/>
        <v>0</v>
      </c>
      <c r="O371" s="68">
        <f t="shared" si="173"/>
        <v>0</v>
      </c>
      <c r="P371" s="68">
        <f t="shared" si="173"/>
        <v>0</v>
      </c>
      <c r="Q371" s="68">
        <f t="shared" si="173"/>
        <v>0</v>
      </c>
      <c r="R371" s="68">
        <f t="shared" si="173"/>
        <v>0</v>
      </c>
    </row>
    <row r="372" spans="1:18" s="21" customFormat="1" ht="12.75" hidden="1">
      <c r="A372" s="66"/>
      <c r="B372" s="41" t="s">
        <v>9</v>
      </c>
      <c r="C372" s="67" t="s">
        <v>37</v>
      </c>
      <c r="D372" s="68"/>
      <c r="E372" s="64">
        <f>D372+SUM(F372:R372)</f>
        <v>35</v>
      </c>
      <c r="F372" s="68"/>
      <c r="G372" s="68"/>
      <c r="H372" s="69">
        <v>35</v>
      </c>
      <c r="I372" s="69"/>
      <c r="J372" s="68"/>
      <c r="K372" s="68"/>
      <c r="L372" s="68"/>
      <c r="M372" s="68"/>
      <c r="N372" s="68"/>
      <c r="O372" s="68"/>
      <c r="P372" s="68"/>
      <c r="Q372" s="68"/>
      <c r="R372" s="68"/>
    </row>
    <row r="373" spans="1:18" s="21" customFormat="1" ht="76.5" hidden="1">
      <c r="A373" s="63" t="s">
        <v>527</v>
      </c>
      <c r="B373" s="41"/>
      <c r="C373" s="135" t="s">
        <v>526</v>
      </c>
      <c r="D373" s="68"/>
      <c r="E373" s="71">
        <f aca="true" t="shared" si="174" ref="E373:H374">E374</f>
        <v>20</v>
      </c>
      <c r="F373" s="64">
        <f t="shared" si="174"/>
        <v>0</v>
      </c>
      <c r="G373" s="64">
        <f t="shared" si="174"/>
        <v>0</v>
      </c>
      <c r="H373" s="71">
        <f t="shared" si="174"/>
        <v>20</v>
      </c>
      <c r="I373" s="69"/>
      <c r="J373" s="68"/>
      <c r="K373" s="68"/>
      <c r="L373" s="68"/>
      <c r="M373" s="68"/>
      <c r="N373" s="68"/>
      <c r="O373" s="68"/>
      <c r="P373" s="68"/>
      <c r="Q373" s="68"/>
      <c r="R373" s="68"/>
    </row>
    <row r="374" spans="1:18" s="21" customFormat="1" ht="76.5" hidden="1">
      <c r="A374" s="66" t="s">
        <v>528</v>
      </c>
      <c r="B374" s="41"/>
      <c r="C374" s="134" t="s">
        <v>526</v>
      </c>
      <c r="D374" s="68"/>
      <c r="E374" s="64">
        <f t="shared" si="174"/>
        <v>20</v>
      </c>
      <c r="F374" s="64">
        <f t="shared" si="174"/>
        <v>0</v>
      </c>
      <c r="G374" s="64">
        <f t="shared" si="174"/>
        <v>0</v>
      </c>
      <c r="H374" s="64">
        <f t="shared" si="174"/>
        <v>20</v>
      </c>
      <c r="I374" s="69"/>
      <c r="J374" s="68"/>
      <c r="K374" s="68"/>
      <c r="L374" s="68"/>
      <c r="M374" s="68"/>
      <c r="N374" s="68"/>
      <c r="O374" s="68"/>
      <c r="P374" s="68"/>
      <c r="Q374" s="68"/>
      <c r="R374" s="68"/>
    </row>
    <row r="375" spans="1:18" s="21" customFormat="1" ht="12.75" hidden="1">
      <c r="A375" s="66"/>
      <c r="B375" s="41" t="s">
        <v>9</v>
      </c>
      <c r="C375" s="67" t="s">
        <v>37</v>
      </c>
      <c r="D375" s="68"/>
      <c r="E375" s="64">
        <f>D375+SUM(F375:R375)</f>
        <v>20</v>
      </c>
      <c r="F375" s="68"/>
      <c r="G375" s="68"/>
      <c r="H375" s="69">
        <v>20</v>
      </c>
      <c r="I375" s="69"/>
      <c r="J375" s="68"/>
      <c r="K375" s="68"/>
      <c r="L375" s="68"/>
      <c r="M375" s="68"/>
      <c r="N375" s="68"/>
      <c r="O375" s="68"/>
      <c r="P375" s="68"/>
      <c r="Q375" s="68"/>
      <c r="R375" s="68"/>
    </row>
    <row r="376" spans="1:18" s="21" customFormat="1" ht="12.75">
      <c r="A376" s="63" t="s">
        <v>550</v>
      </c>
      <c r="B376" s="11"/>
      <c r="C376" s="135" t="s">
        <v>552</v>
      </c>
      <c r="D376" s="73">
        <f>D377</f>
        <v>0</v>
      </c>
      <c r="E376" s="73">
        <f aca="true" t="shared" si="175" ref="E376:R377">E377</f>
        <v>140.5858</v>
      </c>
      <c r="F376" s="73">
        <f t="shared" si="175"/>
        <v>0</v>
      </c>
      <c r="G376" s="73">
        <f t="shared" si="175"/>
        <v>0</v>
      </c>
      <c r="H376" s="73">
        <f t="shared" si="175"/>
        <v>0</v>
      </c>
      <c r="I376" s="73">
        <f t="shared" si="175"/>
        <v>0</v>
      </c>
      <c r="J376" s="73">
        <f t="shared" si="175"/>
        <v>0</v>
      </c>
      <c r="K376" s="73">
        <f t="shared" si="175"/>
        <v>0</v>
      </c>
      <c r="L376" s="73">
        <f t="shared" si="175"/>
        <v>0</v>
      </c>
      <c r="M376" s="73">
        <f t="shared" si="175"/>
        <v>210.0858</v>
      </c>
      <c r="N376" s="73">
        <f t="shared" si="175"/>
        <v>0</v>
      </c>
      <c r="O376" s="73">
        <f t="shared" si="175"/>
        <v>0</v>
      </c>
      <c r="P376" s="73">
        <f t="shared" si="175"/>
        <v>0</v>
      </c>
      <c r="Q376" s="73">
        <f t="shared" si="175"/>
        <v>-69.5</v>
      </c>
      <c r="R376" s="73">
        <f t="shared" si="175"/>
        <v>0</v>
      </c>
    </row>
    <row r="377" spans="1:18" s="21" customFormat="1" ht="12.75">
      <c r="A377" s="66" t="s">
        <v>551</v>
      </c>
      <c r="B377" s="41"/>
      <c r="C377" s="134" t="s">
        <v>553</v>
      </c>
      <c r="D377" s="68">
        <f>D378</f>
        <v>0</v>
      </c>
      <c r="E377" s="68">
        <f t="shared" si="175"/>
        <v>140.5858</v>
      </c>
      <c r="F377" s="68">
        <f t="shared" si="175"/>
        <v>0</v>
      </c>
      <c r="G377" s="68">
        <f t="shared" si="175"/>
        <v>0</v>
      </c>
      <c r="H377" s="68">
        <f t="shared" si="175"/>
        <v>0</v>
      </c>
      <c r="I377" s="68">
        <f t="shared" si="175"/>
        <v>0</v>
      </c>
      <c r="J377" s="68">
        <f t="shared" si="175"/>
        <v>0</v>
      </c>
      <c r="K377" s="68">
        <f t="shared" si="175"/>
        <v>0</v>
      </c>
      <c r="L377" s="68">
        <f t="shared" si="175"/>
        <v>0</v>
      </c>
      <c r="M377" s="68">
        <f t="shared" si="175"/>
        <v>210.0858</v>
      </c>
      <c r="N377" s="68">
        <f t="shared" si="175"/>
        <v>0</v>
      </c>
      <c r="O377" s="68">
        <f t="shared" si="175"/>
        <v>0</v>
      </c>
      <c r="P377" s="68">
        <f t="shared" si="175"/>
        <v>0</v>
      </c>
      <c r="Q377" s="68">
        <f t="shared" si="175"/>
        <v>-69.5</v>
      </c>
      <c r="R377" s="68">
        <f t="shared" si="175"/>
        <v>0</v>
      </c>
    </row>
    <row r="378" spans="1:18" s="21" customFormat="1" ht="25.5">
      <c r="A378" s="66"/>
      <c r="B378" s="41" t="s">
        <v>3</v>
      </c>
      <c r="C378" s="67" t="s">
        <v>95</v>
      </c>
      <c r="D378" s="68"/>
      <c r="E378" s="64">
        <f>D378+SUM(F378:R378)</f>
        <v>140.5858</v>
      </c>
      <c r="F378" s="68"/>
      <c r="G378" s="68"/>
      <c r="H378" s="69"/>
      <c r="I378" s="69"/>
      <c r="J378" s="68"/>
      <c r="K378" s="68"/>
      <c r="L378" s="68"/>
      <c r="M378" s="68">
        <v>210.0858</v>
      </c>
      <c r="N378" s="68"/>
      <c r="O378" s="68"/>
      <c r="P378" s="68"/>
      <c r="Q378" s="68">
        <v>-69.5</v>
      </c>
      <c r="R378" s="68"/>
    </row>
    <row r="379" spans="1:18" s="21" customFormat="1" ht="12.75" hidden="1">
      <c r="A379" s="116" t="s">
        <v>434</v>
      </c>
      <c r="B379" s="11"/>
      <c r="C379" s="117" t="s">
        <v>148</v>
      </c>
      <c r="D379" s="73">
        <f>D380</f>
        <v>0</v>
      </c>
      <c r="E379" s="73">
        <f aca="true" t="shared" si="176" ref="E379:R379">E380</f>
        <v>0</v>
      </c>
      <c r="F379" s="73">
        <f t="shared" si="176"/>
        <v>0</v>
      </c>
      <c r="G379" s="73">
        <f t="shared" si="176"/>
        <v>0</v>
      </c>
      <c r="H379" s="73">
        <f t="shared" si="176"/>
        <v>0</v>
      </c>
      <c r="I379" s="73">
        <f t="shared" si="176"/>
        <v>0</v>
      </c>
      <c r="J379" s="73">
        <f t="shared" si="176"/>
        <v>0</v>
      </c>
      <c r="K379" s="73">
        <f t="shared" si="176"/>
        <v>0</v>
      </c>
      <c r="L379" s="73">
        <f t="shared" si="176"/>
        <v>0</v>
      </c>
      <c r="M379" s="73">
        <f t="shared" si="176"/>
        <v>0</v>
      </c>
      <c r="N379" s="73">
        <f t="shared" si="176"/>
        <v>0</v>
      </c>
      <c r="O379" s="73">
        <f t="shared" si="176"/>
        <v>0</v>
      </c>
      <c r="P379" s="73">
        <f t="shared" si="176"/>
        <v>0</v>
      </c>
      <c r="Q379" s="73">
        <f t="shared" si="176"/>
        <v>0</v>
      </c>
      <c r="R379" s="73">
        <f t="shared" si="176"/>
        <v>0</v>
      </c>
    </row>
    <row r="380" spans="1:18" s="21" customFormat="1" ht="12.75" hidden="1">
      <c r="A380" s="88" t="s">
        <v>433</v>
      </c>
      <c r="B380" s="41" t="s">
        <v>155</v>
      </c>
      <c r="C380" s="87" t="s">
        <v>148</v>
      </c>
      <c r="D380" s="79"/>
      <c r="E380" s="64">
        <f>D380+SUM(F380:J380)</f>
        <v>0</v>
      </c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</row>
    <row r="381" spans="1:18" s="21" customFormat="1" ht="12.75" hidden="1">
      <c r="A381" s="66"/>
      <c r="B381" s="41"/>
      <c r="C381" s="72"/>
      <c r="D381" s="68"/>
      <c r="E381" s="64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</row>
    <row r="382" spans="1:18" ht="12.75">
      <c r="A382" s="80"/>
      <c r="B382" s="80"/>
      <c r="C382" s="81" t="s">
        <v>80</v>
      </c>
      <c r="D382" s="73">
        <f>D9+D26+D44+D51+D91+D110+D114+D127+D182+D206+D253+D316+D333+D336+D356+D359+D379+D366+D373+D305+D376</f>
        <v>215906.6</v>
      </c>
      <c r="E382" s="77">
        <f aca="true" t="shared" si="177" ref="E382:R382">E9+E26+E44+E51+E91+E110+E114+E127+E182+E206+E253+E316+E333+E336+E356+E359+E379+E366+E373+E305+E376</f>
        <v>279224.34197</v>
      </c>
      <c r="F382" s="73">
        <f t="shared" si="177"/>
        <v>0</v>
      </c>
      <c r="G382" s="73">
        <f t="shared" si="177"/>
        <v>57330.04049</v>
      </c>
      <c r="H382" s="73">
        <f t="shared" si="177"/>
        <v>1300.2036000000003</v>
      </c>
      <c r="I382" s="73">
        <f t="shared" si="177"/>
        <v>0</v>
      </c>
      <c r="J382" s="73">
        <f t="shared" si="177"/>
        <v>15032.994160000002</v>
      </c>
      <c r="K382" s="73">
        <f t="shared" si="177"/>
        <v>3194.0032</v>
      </c>
      <c r="L382" s="73">
        <f t="shared" si="177"/>
        <v>-600.1028</v>
      </c>
      <c r="M382" s="77">
        <f t="shared" si="177"/>
        <v>710.4033200000001</v>
      </c>
      <c r="N382" s="127">
        <f t="shared" si="177"/>
        <v>-13714.8</v>
      </c>
      <c r="O382" s="73">
        <f t="shared" si="177"/>
        <v>64.99999999999999</v>
      </c>
      <c r="P382" s="73">
        <f>P9+P26+P44+P51+P91+P110+P114+P127+P182+P206+P253+P316+P333+P336+P356+P359+P379+P366+P373+P305+P376</f>
        <v>0</v>
      </c>
      <c r="Q382" s="73">
        <f>Q9+Q26+Q44+Q51+Q91+Q110+Q114+Q127+Q182+Q206+Q253+Q316+Q333+Q336+Q356+Q359+Q379+Q366+Q373+Q305+Q376</f>
        <v>0</v>
      </c>
      <c r="R382" s="73">
        <f t="shared" si="177"/>
        <v>0</v>
      </c>
    </row>
    <row r="383" spans="1:18" ht="12.75">
      <c r="A383" s="89"/>
      <c r="B383" s="89"/>
      <c r="C383" s="1"/>
      <c r="D383" s="90"/>
      <c r="E383" s="90"/>
      <c r="F383" s="90"/>
      <c r="G383" s="90"/>
      <c r="H383" s="90"/>
      <c r="I383" s="90"/>
      <c r="J383" s="91"/>
      <c r="K383" s="90"/>
      <c r="L383" s="91"/>
      <c r="M383" s="91"/>
      <c r="N383" s="91"/>
      <c r="O383" s="91"/>
      <c r="P383" s="91"/>
      <c r="Q383" s="91"/>
      <c r="R383" s="91"/>
    </row>
    <row r="384" spans="3:18" ht="12">
      <c r="C384" s="30"/>
      <c r="D384" s="48"/>
      <c r="E384" s="48"/>
      <c r="F384" s="48"/>
      <c r="G384" s="48"/>
      <c r="H384" s="48"/>
      <c r="I384" s="48"/>
      <c r="J384" s="48"/>
      <c r="K384" s="48"/>
      <c r="L384" s="38"/>
      <c r="M384" s="38"/>
      <c r="N384" s="38"/>
      <c r="O384" s="38"/>
      <c r="P384" s="38"/>
      <c r="Q384" s="38"/>
      <c r="R384" s="38"/>
    </row>
    <row r="385" spans="3:10" ht="12">
      <c r="C385" s="31"/>
      <c r="J385" s="49"/>
    </row>
    <row r="386" ht="12">
      <c r="C386" s="31"/>
    </row>
    <row r="387" spans="10:18" ht="12">
      <c r="J387" s="40"/>
      <c r="L387" s="40"/>
      <c r="M387" s="40"/>
      <c r="N387" s="40"/>
      <c r="O387" s="40"/>
      <c r="P387" s="40"/>
      <c r="Q387" s="40"/>
      <c r="R387" s="40"/>
    </row>
    <row r="388" spans="10:18" ht="12">
      <c r="J388" s="40"/>
      <c r="L388" s="40"/>
      <c r="M388" s="40"/>
      <c r="N388" s="40"/>
      <c r="O388" s="40"/>
      <c r="P388" s="40"/>
      <c r="Q388" s="40"/>
      <c r="R388" s="40"/>
    </row>
    <row r="389" spans="10:18" ht="12">
      <c r="J389" s="40"/>
      <c r="L389" s="40"/>
      <c r="M389" s="40"/>
      <c r="N389" s="40"/>
      <c r="O389" s="40"/>
      <c r="P389" s="40"/>
      <c r="Q389" s="40"/>
      <c r="R389" s="40"/>
    </row>
    <row r="390" spans="10:18" ht="12">
      <c r="J390" s="40"/>
      <c r="L390" s="40"/>
      <c r="M390" s="40"/>
      <c r="N390" s="40"/>
      <c r="O390" s="40"/>
      <c r="P390" s="40"/>
      <c r="Q390" s="40"/>
      <c r="R390" s="40"/>
    </row>
    <row r="391" spans="1:18" ht="12">
      <c r="A391" s="161"/>
      <c r="B391" s="161"/>
      <c r="J391" s="40"/>
      <c r="L391" s="40"/>
      <c r="M391" s="40"/>
      <c r="N391" s="40"/>
      <c r="O391" s="40"/>
      <c r="P391" s="40"/>
      <c r="Q391" s="40"/>
      <c r="R391" s="40"/>
    </row>
    <row r="392" spans="1:18" ht="12">
      <c r="A392" s="161"/>
      <c r="B392" s="161"/>
      <c r="J392" s="40"/>
      <c r="L392" s="40"/>
      <c r="M392" s="40"/>
      <c r="N392" s="40"/>
      <c r="O392" s="40"/>
      <c r="P392" s="40"/>
      <c r="Q392" s="40"/>
      <c r="R392" s="40"/>
    </row>
    <row r="393" spans="1:18" s="7" customFormat="1" ht="12">
      <c r="A393" s="161"/>
      <c r="B393" s="161"/>
      <c r="D393" s="49"/>
      <c r="E393" s="49"/>
      <c r="F393" s="49"/>
      <c r="G393" s="49"/>
      <c r="H393" s="49"/>
      <c r="I393" s="49"/>
      <c r="J393" s="39"/>
      <c r="K393" s="49"/>
      <c r="L393" s="39"/>
      <c r="M393" s="39"/>
      <c r="N393" s="39"/>
      <c r="O393" s="39"/>
      <c r="P393" s="39"/>
      <c r="Q393" s="39"/>
      <c r="R393" s="39"/>
    </row>
  </sheetData>
  <sheetProtection/>
  <autoFilter ref="A8:R382"/>
  <mergeCells count="1">
    <mergeCell ref="A5:Q5"/>
  </mergeCells>
  <printOptions horizontalCentered="1"/>
  <pageMargins left="0.1968503937007874" right="0.1968503937007874" top="0.07874015748031496" bottom="0.2362204724409449" header="0.31496062992125984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519"/>
  <sheetViews>
    <sheetView view="pageBreakPreview" zoomScale="115" zoomScaleNormal="90" zoomScaleSheetLayoutView="115" workbookViewId="0" topLeftCell="A1">
      <selection activeCell="R3" sqref="R3"/>
    </sheetView>
  </sheetViews>
  <sheetFormatPr defaultColWidth="9.140625" defaultRowHeight="15" outlineLevelCol="1"/>
  <cols>
    <col min="1" max="1" width="6.7109375" style="6" customWidth="1"/>
    <col min="2" max="2" width="11.421875" style="6" customWidth="1"/>
    <col min="3" max="3" width="8.7109375" style="6" customWidth="1"/>
    <col min="4" max="4" width="46.00390625" style="7" customWidth="1"/>
    <col min="5" max="5" width="15.7109375" style="49" hidden="1" customWidth="1"/>
    <col min="6" max="6" width="15.421875" style="49" hidden="1" customWidth="1"/>
    <col min="7" max="7" width="15.57421875" style="49" hidden="1" customWidth="1" outlineLevel="1"/>
    <col min="8" max="10" width="14.28125" style="49" hidden="1" customWidth="1" outlineLevel="1"/>
    <col min="11" max="11" width="15.421875" style="49" hidden="1" customWidth="1" outlineLevel="1"/>
    <col min="12" max="12" width="15.57421875" style="49" hidden="1" customWidth="1" outlineLevel="1"/>
    <col min="13" max="13" width="15.00390625" style="49" hidden="1" customWidth="1" outlineLevel="1"/>
    <col min="14" max="14" width="15.421875" style="165" hidden="1" customWidth="1" outlineLevel="1"/>
    <col min="15" max="15" width="16.140625" style="49" hidden="1" customWidth="1" outlineLevel="1"/>
    <col min="16" max="16" width="11.140625" style="39" hidden="1" customWidth="1" outlineLevel="1"/>
    <col min="17" max="17" width="11.8515625" style="39" hidden="1" customWidth="1" outlineLevel="1"/>
    <col min="18" max="18" width="11.8515625" style="39" customWidth="1" collapsed="1"/>
    <col min="19" max="19" width="11.8515625" style="39" hidden="1" customWidth="1" outlineLevel="1"/>
    <col min="20" max="20" width="9.140625" style="8" customWidth="1" collapsed="1"/>
    <col min="21" max="21" width="18.57421875" style="8" customWidth="1"/>
    <col min="22" max="16384" width="9.140625" style="8" customWidth="1"/>
  </cols>
  <sheetData>
    <row r="1" spans="5:19" ht="12">
      <c r="E1" s="53"/>
      <c r="G1" s="42"/>
      <c r="H1" s="53"/>
      <c r="I1" s="42"/>
      <c r="J1" s="53"/>
      <c r="K1" s="3"/>
      <c r="L1" s="42"/>
      <c r="M1" s="42"/>
      <c r="O1" s="42"/>
      <c r="P1" s="35"/>
      <c r="Q1" s="35"/>
      <c r="R1" s="3" t="s">
        <v>89</v>
      </c>
      <c r="S1" s="35"/>
    </row>
    <row r="2" spans="5:19" ht="46.5" customHeight="1">
      <c r="E2" s="54"/>
      <c r="G2" s="43"/>
      <c r="H2" s="54"/>
      <c r="I2" s="150"/>
      <c r="J2" s="54"/>
      <c r="K2" s="4"/>
      <c r="L2" s="43"/>
      <c r="M2" s="43"/>
      <c r="N2" s="163"/>
      <c r="O2" s="43"/>
      <c r="P2" s="36"/>
      <c r="Q2" s="36"/>
      <c r="R2" s="4" t="s">
        <v>16</v>
      </c>
      <c r="S2" s="36"/>
    </row>
    <row r="3" spans="4:19" ht="13.5" customHeight="1">
      <c r="D3" s="9"/>
      <c r="E3" s="53"/>
      <c r="G3" s="42"/>
      <c r="H3" s="53"/>
      <c r="I3" s="42"/>
      <c r="J3" s="53"/>
      <c r="K3" s="53"/>
      <c r="L3" s="42"/>
      <c r="M3" s="42"/>
      <c r="O3" s="42"/>
      <c r="P3" s="3"/>
      <c r="Q3" s="3"/>
      <c r="R3" s="53" t="s">
        <v>565</v>
      </c>
      <c r="S3" s="3"/>
    </row>
    <row r="4" spans="5:19" ht="12">
      <c r="E4" s="44"/>
      <c r="F4" s="44"/>
      <c r="G4" s="44"/>
      <c r="H4" s="44"/>
      <c r="I4" s="44"/>
      <c r="J4" s="44"/>
      <c r="K4" s="44"/>
      <c r="L4" s="44"/>
      <c r="M4" s="44"/>
      <c r="N4" s="166"/>
      <c r="O4" s="44"/>
      <c r="P4" s="33"/>
      <c r="Q4" s="33"/>
      <c r="R4" s="33"/>
      <c r="S4" s="33"/>
    </row>
    <row r="5" spans="1:19" ht="81" customHeight="1">
      <c r="A5" s="194" t="s">
        <v>563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3"/>
    </row>
    <row r="6" spans="4:19" ht="12">
      <c r="D6" s="10"/>
      <c r="E6" s="45"/>
      <c r="F6" s="45"/>
      <c r="G6" s="45"/>
      <c r="H6" s="45"/>
      <c r="I6" s="45"/>
      <c r="J6" s="45"/>
      <c r="K6" s="45"/>
      <c r="L6" s="45"/>
      <c r="M6" s="45"/>
      <c r="N6" s="163"/>
      <c r="O6" s="45"/>
      <c r="P6" s="37"/>
      <c r="Q6" s="37"/>
      <c r="R6" s="37"/>
      <c r="S6" s="37"/>
    </row>
    <row r="7" spans="4:19" ht="12">
      <c r="D7" s="10"/>
      <c r="E7" s="45"/>
      <c r="F7" s="45"/>
      <c r="G7" s="45"/>
      <c r="H7" s="45"/>
      <c r="I7" s="45"/>
      <c r="J7" s="45"/>
      <c r="K7" s="45"/>
      <c r="L7" s="45"/>
      <c r="M7" s="45"/>
      <c r="N7" s="163"/>
      <c r="O7" s="45"/>
      <c r="P7" s="37"/>
      <c r="Q7" s="37"/>
      <c r="R7" s="37"/>
      <c r="S7" s="37"/>
    </row>
    <row r="8" spans="1:19" s="12" customFormat="1" ht="49.5" customHeight="1">
      <c r="A8" s="11" t="s">
        <v>23</v>
      </c>
      <c r="B8" s="11" t="s">
        <v>24</v>
      </c>
      <c r="C8" s="11" t="s">
        <v>25</v>
      </c>
      <c r="D8" s="11" t="s">
        <v>26</v>
      </c>
      <c r="E8" s="46" t="s">
        <v>106</v>
      </c>
      <c r="F8" s="46" t="s">
        <v>107</v>
      </c>
      <c r="G8" s="46" t="s">
        <v>521</v>
      </c>
      <c r="H8" s="46" t="s">
        <v>444</v>
      </c>
      <c r="I8" s="46" t="s">
        <v>451</v>
      </c>
      <c r="J8" s="52" t="s">
        <v>529</v>
      </c>
      <c r="K8" s="46" t="s">
        <v>455</v>
      </c>
      <c r="L8" s="46" t="s">
        <v>457</v>
      </c>
      <c r="M8" s="46" t="s">
        <v>458</v>
      </c>
      <c r="N8" s="164" t="s">
        <v>475</v>
      </c>
      <c r="O8" s="46" t="s">
        <v>480</v>
      </c>
      <c r="P8" s="46" t="s">
        <v>558</v>
      </c>
      <c r="Q8" s="46" t="s">
        <v>559</v>
      </c>
      <c r="R8" s="46" t="s">
        <v>106</v>
      </c>
      <c r="S8" s="46"/>
    </row>
    <row r="9" spans="1:19" ht="12">
      <c r="A9" s="5" t="s">
        <v>28</v>
      </c>
      <c r="B9" s="5"/>
      <c r="C9" s="5"/>
      <c r="D9" s="15" t="s">
        <v>29</v>
      </c>
      <c r="E9" s="118">
        <f>E10+E14+E31+E60+E75+E81+E71</f>
        <v>50768.700000000004</v>
      </c>
      <c r="F9" s="118">
        <f aca="true" t="shared" si="0" ref="F9:Q9">F10+F14+F31+F60+F75+F81+F71</f>
        <v>62380.5818</v>
      </c>
      <c r="G9" s="118">
        <f t="shared" si="0"/>
        <v>0</v>
      </c>
      <c r="H9" s="118">
        <f t="shared" si="0"/>
        <v>1437.7259999999999</v>
      </c>
      <c r="I9" s="118">
        <f t="shared" si="0"/>
        <v>10976.77</v>
      </c>
      <c r="J9" s="118">
        <f t="shared" si="0"/>
        <v>135</v>
      </c>
      <c r="K9" s="118">
        <f t="shared" si="0"/>
        <v>44.599999999999994</v>
      </c>
      <c r="L9" s="118">
        <f t="shared" si="0"/>
        <v>51.74900000000001</v>
      </c>
      <c r="M9" s="118">
        <f t="shared" si="0"/>
        <v>72.115</v>
      </c>
      <c r="N9" s="167">
        <f t="shared" si="0"/>
        <v>394.9218</v>
      </c>
      <c r="O9" s="118">
        <f t="shared" si="0"/>
        <v>-1024</v>
      </c>
      <c r="P9" s="118">
        <f t="shared" si="0"/>
        <v>-177</v>
      </c>
      <c r="Q9" s="118">
        <f t="shared" si="0"/>
        <v>-300</v>
      </c>
      <c r="R9" s="118">
        <f>R10+R14+R31+R60+R75+R81+R71</f>
        <v>-11.399999999999991</v>
      </c>
      <c r="S9" s="118">
        <f>S10+S14+S31+S60+S75+S81+S71</f>
        <v>0</v>
      </c>
    </row>
    <row r="10" spans="1:19" ht="36" hidden="1">
      <c r="A10" s="5" t="s">
        <v>33</v>
      </c>
      <c r="B10" s="16"/>
      <c r="C10" s="5"/>
      <c r="D10" s="13" t="s">
        <v>34</v>
      </c>
      <c r="E10" s="118">
        <f aca="true" t="shared" si="1" ref="E10:S12">E11</f>
        <v>1305.3</v>
      </c>
      <c r="F10" s="118">
        <f t="shared" si="1"/>
        <v>1351.6</v>
      </c>
      <c r="G10" s="14">
        <f t="shared" si="1"/>
        <v>0</v>
      </c>
      <c r="H10" s="14">
        <f t="shared" si="1"/>
        <v>0</v>
      </c>
      <c r="I10" s="152">
        <f t="shared" si="1"/>
        <v>46.3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6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0</v>
      </c>
      <c r="S10" s="14">
        <f t="shared" si="1"/>
        <v>0</v>
      </c>
    </row>
    <row r="11" spans="1:19" ht="25.5" hidden="1">
      <c r="A11" s="17"/>
      <c r="B11" s="63" t="s">
        <v>419</v>
      </c>
      <c r="C11" s="11"/>
      <c r="D11" s="84" t="s">
        <v>154</v>
      </c>
      <c r="E11" s="95">
        <f t="shared" si="1"/>
        <v>1305.3</v>
      </c>
      <c r="F11" s="95">
        <f t="shared" si="1"/>
        <v>1351.6</v>
      </c>
      <c r="G11" s="73">
        <f t="shared" si="1"/>
        <v>0</v>
      </c>
      <c r="H11" s="73">
        <f t="shared" si="1"/>
        <v>0</v>
      </c>
      <c r="I11" s="77">
        <f t="shared" si="1"/>
        <v>46.3</v>
      </c>
      <c r="J11" s="73">
        <f t="shared" si="1"/>
        <v>0</v>
      </c>
      <c r="K11" s="73">
        <f t="shared" si="1"/>
        <v>0</v>
      </c>
      <c r="L11" s="73">
        <f t="shared" si="1"/>
        <v>0</v>
      </c>
      <c r="M11" s="73">
        <f t="shared" si="1"/>
        <v>0</v>
      </c>
      <c r="N11" s="123">
        <f t="shared" si="1"/>
        <v>0</v>
      </c>
      <c r="O11" s="73">
        <f t="shared" si="1"/>
        <v>0</v>
      </c>
      <c r="P11" s="73">
        <f t="shared" si="1"/>
        <v>0</v>
      </c>
      <c r="Q11" s="73">
        <f t="shared" si="1"/>
        <v>0</v>
      </c>
      <c r="R11" s="73">
        <f t="shared" si="1"/>
        <v>0</v>
      </c>
      <c r="S11" s="73">
        <f t="shared" si="1"/>
        <v>0</v>
      </c>
    </row>
    <row r="12" spans="1:19" ht="12.75" hidden="1">
      <c r="A12" s="17"/>
      <c r="B12" s="66" t="s">
        <v>422</v>
      </c>
      <c r="C12" s="41"/>
      <c r="D12" s="57" t="s">
        <v>93</v>
      </c>
      <c r="E12" s="79">
        <f t="shared" si="1"/>
        <v>1305.3</v>
      </c>
      <c r="F12" s="79">
        <f t="shared" si="1"/>
        <v>1351.6</v>
      </c>
      <c r="G12" s="68">
        <f t="shared" si="1"/>
        <v>0</v>
      </c>
      <c r="H12" s="68">
        <f t="shared" si="1"/>
        <v>0</v>
      </c>
      <c r="I12" s="70">
        <f t="shared" si="1"/>
        <v>46.3</v>
      </c>
      <c r="J12" s="68">
        <f t="shared" si="1"/>
        <v>0</v>
      </c>
      <c r="K12" s="68">
        <f t="shared" si="1"/>
        <v>0</v>
      </c>
      <c r="L12" s="68">
        <f t="shared" si="1"/>
        <v>0</v>
      </c>
      <c r="M12" s="68">
        <f t="shared" si="1"/>
        <v>0</v>
      </c>
      <c r="N12" s="168">
        <f t="shared" si="1"/>
        <v>0</v>
      </c>
      <c r="O12" s="68">
        <f t="shared" si="1"/>
        <v>0</v>
      </c>
      <c r="P12" s="68">
        <f t="shared" si="1"/>
        <v>0</v>
      </c>
      <c r="Q12" s="68">
        <f t="shared" si="1"/>
        <v>0</v>
      </c>
      <c r="R12" s="68">
        <f t="shared" si="1"/>
        <v>0</v>
      </c>
      <c r="S12" s="68">
        <f t="shared" si="1"/>
        <v>0</v>
      </c>
    </row>
    <row r="13" spans="1:19" ht="51" hidden="1">
      <c r="A13" s="17"/>
      <c r="B13" s="66"/>
      <c r="C13" s="41" t="s">
        <v>2</v>
      </c>
      <c r="D13" s="67" t="s">
        <v>94</v>
      </c>
      <c r="E13" s="79">
        <f>1305.3</f>
        <v>1305.3</v>
      </c>
      <c r="F13" s="93">
        <f>E13+SUM(G13:Q13)</f>
        <v>1351.6</v>
      </c>
      <c r="G13" s="68"/>
      <c r="H13" s="68"/>
      <c r="I13" s="70">
        <v>46.3</v>
      </c>
      <c r="J13" s="68"/>
      <c r="K13" s="68"/>
      <c r="L13" s="68"/>
      <c r="M13" s="68"/>
      <c r="N13" s="168"/>
      <c r="O13" s="68"/>
      <c r="P13" s="68"/>
      <c r="Q13" s="68"/>
      <c r="R13" s="68"/>
      <c r="S13" s="68"/>
    </row>
    <row r="14" spans="1:19" ht="51" hidden="1">
      <c r="A14" s="5" t="s">
        <v>30</v>
      </c>
      <c r="B14" s="16"/>
      <c r="C14" s="5"/>
      <c r="D14" s="111" t="s">
        <v>31</v>
      </c>
      <c r="E14" s="118">
        <f>E19+E28+E15</f>
        <v>6032.1</v>
      </c>
      <c r="F14" s="118">
        <f aca="true" t="shared" si="2" ref="F14:Q14">F19+F28+F15</f>
        <v>6258.300000000001</v>
      </c>
      <c r="G14" s="118">
        <f t="shared" si="2"/>
        <v>0</v>
      </c>
      <c r="H14" s="118">
        <f t="shared" si="2"/>
        <v>0</v>
      </c>
      <c r="I14" s="151">
        <f t="shared" si="2"/>
        <v>226.2</v>
      </c>
      <c r="J14" s="118">
        <f t="shared" si="2"/>
        <v>0</v>
      </c>
      <c r="K14" s="118">
        <f t="shared" si="2"/>
        <v>0</v>
      </c>
      <c r="L14" s="118">
        <f t="shared" si="2"/>
        <v>0</v>
      </c>
      <c r="M14" s="118">
        <f t="shared" si="2"/>
        <v>0</v>
      </c>
      <c r="N14" s="167">
        <f t="shared" si="2"/>
        <v>0</v>
      </c>
      <c r="O14" s="118">
        <f t="shared" si="2"/>
        <v>0</v>
      </c>
      <c r="P14" s="118">
        <f t="shared" si="2"/>
        <v>0</v>
      </c>
      <c r="Q14" s="118">
        <f t="shared" si="2"/>
        <v>0</v>
      </c>
      <c r="R14" s="118">
        <f>R19+R28+R15</f>
        <v>0</v>
      </c>
      <c r="S14" s="118">
        <f>S19+S28+S15</f>
        <v>0</v>
      </c>
    </row>
    <row r="15" spans="1:19" ht="38.25" hidden="1">
      <c r="A15" s="5"/>
      <c r="B15" s="63" t="s">
        <v>260</v>
      </c>
      <c r="C15" s="11"/>
      <c r="D15" s="60" t="s">
        <v>443</v>
      </c>
      <c r="E15" s="95">
        <f>E16</f>
        <v>10</v>
      </c>
      <c r="F15" s="95">
        <f aca="true" t="shared" si="3" ref="F15:S17">F16</f>
        <v>36.6</v>
      </c>
      <c r="G15" s="95">
        <f t="shared" si="3"/>
        <v>0</v>
      </c>
      <c r="H15" s="95">
        <f t="shared" si="3"/>
        <v>0</v>
      </c>
      <c r="I15" s="131">
        <f t="shared" si="3"/>
        <v>0</v>
      </c>
      <c r="J15" s="95">
        <f t="shared" si="3"/>
        <v>0</v>
      </c>
      <c r="K15" s="95">
        <f t="shared" si="3"/>
        <v>0</v>
      </c>
      <c r="L15" s="95">
        <f t="shared" si="3"/>
        <v>0</v>
      </c>
      <c r="M15" s="95">
        <f t="shared" si="3"/>
        <v>0</v>
      </c>
      <c r="N15" s="169">
        <f t="shared" si="3"/>
        <v>0</v>
      </c>
      <c r="O15" s="95">
        <f t="shared" si="3"/>
        <v>0</v>
      </c>
      <c r="P15" s="95">
        <f t="shared" si="3"/>
        <v>26.6</v>
      </c>
      <c r="Q15" s="95">
        <f t="shared" si="3"/>
        <v>0</v>
      </c>
      <c r="R15" s="95">
        <f t="shared" si="3"/>
        <v>0</v>
      </c>
      <c r="S15" s="95">
        <f t="shared" si="3"/>
        <v>0</v>
      </c>
    </row>
    <row r="16" spans="1:19" ht="38.25" hidden="1">
      <c r="A16" s="5"/>
      <c r="B16" s="82" t="s">
        <v>261</v>
      </c>
      <c r="C16" s="99"/>
      <c r="D16" s="61" t="s">
        <v>263</v>
      </c>
      <c r="E16" s="79">
        <f>E17</f>
        <v>10</v>
      </c>
      <c r="F16" s="79">
        <f t="shared" si="3"/>
        <v>36.6</v>
      </c>
      <c r="G16" s="79">
        <f t="shared" si="3"/>
        <v>0</v>
      </c>
      <c r="H16" s="79">
        <f t="shared" si="3"/>
        <v>0</v>
      </c>
      <c r="I16" s="96">
        <f t="shared" si="3"/>
        <v>0</v>
      </c>
      <c r="J16" s="79">
        <f t="shared" si="3"/>
        <v>0</v>
      </c>
      <c r="K16" s="79">
        <f t="shared" si="3"/>
        <v>0</v>
      </c>
      <c r="L16" s="79">
        <f t="shared" si="3"/>
        <v>0</v>
      </c>
      <c r="M16" s="79">
        <f t="shared" si="3"/>
        <v>0</v>
      </c>
      <c r="N16" s="170">
        <f t="shared" si="3"/>
        <v>0</v>
      </c>
      <c r="O16" s="79">
        <f t="shared" si="3"/>
        <v>0</v>
      </c>
      <c r="P16" s="79">
        <f t="shared" si="3"/>
        <v>26.6</v>
      </c>
      <c r="Q16" s="79">
        <f t="shared" si="3"/>
        <v>0</v>
      </c>
      <c r="R16" s="79">
        <f t="shared" si="3"/>
        <v>0</v>
      </c>
      <c r="S16" s="79">
        <f t="shared" si="3"/>
        <v>0</v>
      </c>
    </row>
    <row r="17" spans="1:19" ht="25.5" hidden="1">
      <c r="A17" s="5"/>
      <c r="B17" s="66" t="s">
        <v>262</v>
      </c>
      <c r="C17" s="41"/>
      <c r="D17" s="57" t="s">
        <v>264</v>
      </c>
      <c r="E17" s="79">
        <f>E18</f>
        <v>10</v>
      </c>
      <c r="F17" s="79">
        <f t="shared" si="3"/>
        <v>36.6</v>
      </c>
      <c r="G17" s="79">
        <f t="shared" si="3"/>
        <v>0</v>
      </c>
      <c r="H17" s="79">
        <f t="shared" si="3"/>
        <v>0</v>
      </c>
      <c r="I17" s="96">
        <f t="shared" si="3"/>
        <v>0</v>
      </c>
      <c r="J17" s="79">
        <f t="shared" si="3"/>
        <v>0</v>
      </c>
      <c r="K17" s="79">
        <f t="shared" si="3"/>
        <v>0</v>
      </c>
      <c r="L17" s="79">
        <f t="shared" si="3"/>
        <v>0</v>
      </c>
      <c r="M17" s="79">
        <f t="shared" si="3"/>
        <v>0</v>
      </c>
      <c r="N17" s="170">
        <f t="shared" si="3"/>
        <v>0</v>
      </c>
      <c r="O17" s="79">
        <f t="shared" si="3"/>
        <v>0</v>
      </c>
      <c r="P17" s="79">
        <f t="shared" si="3"/>
        <v>26.6</v>
      </c>
      <c r="Q17" s="79">
        <f t="shared" si="3"/>
        <v>0</v>
      </c>
      <c r="R17" s="79">
        <f t="shared" si="3"/>
        <v>0</v>
      </c>
      <c r="S17" s="79">
        <f t="shared" si="3"/>
        <v>0</v>
      </c>
    </row>
    <row r="18" spans="1:19" ht="25.5" hidden="1">
      <c r="A18" s="5"/>
      <c r="B18" s="66"/>
      <c r="C18" s="41" t="s">
        <v>3</v>
      </c>
      <c r="D18" s="67" t="s">
        <v>95</v>
      </c>
      <c r="E18" s="79">
        <f>10</f>
        <v>10</v>
      </c>
      <c r="F18" s="93">
        <f>E18+SUM(G18:Q18)</f>
        <v>36.6</v>
      </c>
      <c r="G18" s="118"/>
      <c r="H18" s="118"/>
      <c r="I18" s="151"/>
      <c r="J18" s="124"/>
      <c r="K18" s="118"/>
      <c r="L18" s="118"/>
      <c r="M18" s="118"/>
      <c r="N18" s="167"/>
      <c r="O18" s="118"/>
      <c r="P18" s="118">
        <v>26.6</v>
      </c>
      <c r="Q18" s="118"/>
      <c r="R18" s="118"/>
      <c r="S18" s="118"/>
    </row>
    <row r="19" spans="1:19" ht="25.5" hidden="1">
      <c r="A19" s="17"/>
      <c r="B19" s="63" t="s">
        <v>419</v>
      </c>
      <c r="C19" s="11"/>
      <c r="D19" s="84" t="s">
        <v>154</v>
      </c>
      <c r="E19" s="95">
        <f>E20+E24+E26</f>
        <v>5650.5</v>
      </c>
      <c r="F19" s="95">
        <f aca="true" t="shared" si="4" ref="F19:Q19">F20+F24+F26</f>
        <v>5850.1</v>
      </c>
      <c r="G19" s="73">
        <f t="shared" si="4"/>
        <v>0</v>
      </c>
      <c r="H19" s="73">
        <f t="shared" si="4"/>
        <v>0</v>
      </c>
      <c r="I19" s="77">
        <f t="shared" si="4"/>
        <v>226.2</v>
      </c>
      <c r="J19" s="73">
        <f t="shared" si="4"/>
        <v>0</v>
      </c>
      <c r="K19" s="73">
        <f t="shared" si="4"/>
        <v>0</v>
      </c>
      <c r="L19" s="73">
        <f t="shared" si="4"/>
        <v>0</v>
      </c>
      <c r="M19" s="73">
        <f t="shared" si="4"/>
        <v>0</v>
      </c>
      <c r="N19" s="123">
        <f t="shared" si="4"/>
        <v>0</v>
      </c>
      <c r="O19" s="73">
        <f t="shared" si="4"/>
        <v>0</v>
      </c>
      <c r="P19" s="73">
        <f t="shared" si="4"/>
        <v>-26.599999999999994</v>
      </c>
      <c r="Q19" s="73">
        <f t="shared" si="4"/>
        <v>0</v>
      </c>
      <c r="R19" s="73">
        <f>R20+R24+R26</f>
        <v>0</v>
      </c>
      <c r="S19" s="73">
        <f>S20+S24+S26</f>
        <v>0</v>
      </c>
    </row>
    <row r="20" spans="1:19" ht="25.5" hidden="1">
      <c r="A20" s="17"/>
      <c r="B20" s="66" t="s">
        <v>421</v>
      </c>
      <c r="C20" s="41"/>
      <c r="D20" s="83" t="s">
        <v>166</v>
      </c>
      <c r="E20" s="79">
        <f>E21+E22+E23</f>
        <v>2313.6</v>
      </c>
      <c r="F20" s="79">
        <f>F21+F22+F23</f>
        <v>2547.09</v>
      </c>
      <c r="G20" s="68">
        <f aca="true" t="shared" si="5" ref="G20:Q20">G21+G22+G23</f>
        <v>0</v>
      </c>
      <c r="H20" s="68">
        <f t="shared" si="5"/>
        <v>0</v>
      </c>
      <c r="I20" s="70">
        <f t="shared" si="5"/>
        <v>179.9</v>
      </c>
      <c r="J20" s="68">
        <f t="shared" si="5"/>
        <v>0</v>
      </c>
      <c r="K20" s="68">
        <f t="shared" si="5"/>
        <v>0</v>
      </c>
      <c r="L20" s="68">
        <f t="shared" si="5"/>
        <v>0</v>
      </c>
      <c r="M20" s="68">
        <f t="shared" si="5"/>
        <v>0</v>
      </c>
      <c r="N20" s="168">
        <f t="shared" si="5"/>
        <v>0</v>
      </c>
      <c r="O20" s="68">
        <f t="shared" si="5"/>
        <v>0</v>
      </c>
      <c r="P20" s="68">
        <f t="shared" si="5"/>
        <v>53.59</v>
      </c>
      <c r="Q20" s="68">
        <f t="shared" si="5"/>
        <v>0</v>
      </c>
      <c r="R20" s="68">
        <f>R21+R22+R23</f>
        <v>0</v>
      </c>
      <c r="S20" s="68">
        <f>S21+S22+S23</f>
        <v>0</v>
      </c>
    </row>
    <row r="21" spans="1:19" ht="51" hidden="1">
      <c r="A21" s="17"/>
      <c r="B21" s="66"/>
      <c r="C21" s="41" t="s">
        <v>2</v>
      </c>
      <c r="D21" s="67" t="s">
        <v>94</v>
      </c>
      <c r="E21" s="79">
        <f>1907</f>
        <v>1907</v>
      </c>
      <c r="F21" s="93">
        <f>E21+SUM(G21:Q21)</f>
        <v>2086.9</v>
      </c>
      <c r="G21" s="68"/>
      <c r="H21" s="68"/>
      <c r="I21" s="70">
        <v>179.9</v>
      </c>
      <c r="J21" s="68"/>
      <c r="K21" s="68"/>
      <c r="L21" s="68"/>
      <c r="M21" s="68"/>
      <c r="N21" s="168"/>
      <c r="O21" s="68"/>
      <c r="P21" s="68"/>
      <c r="Q21" s="68"/>
      <c r="R21" s="68"/>
      <c r="S21" s="68"/>
    </row>
    <row r="22" spans="1:19" ht="25.5" hidden="1">
      <c r="A22" s="17"/>
      <c r="B22" s="66"/>
      <c r="C22" s="41" t="s">
        <v>3</v>
      </c>
      <c r="D22" s="67" t="s">
        <v>95</v>
      </c>
      <c r="E22" s="79">
        <f>406.2</f>
        <v>406.2</v>
      </c>
      <c r="F22" s="93">
        <f>E22+SUM(G22:Q22)</f>
        <v>459.78999999999996</v>
      </c>
      <c r="G22" s="68"/>
      <c r="H22" s="68"/>
      <c r="I22" s="153"/>
      <c r="J22" s="69"/>
      <c r="K22" s="68"/>
      <c r="L22" s="70"/>
      <c r="M22" s="68"/>
      <c r="N22" s="168"/>
      <c r="O22" s="68"/>
      <c r="P22" s="68">
        <v>53.59</v>
      </c>
      <c r="Q22" s="68"/>
      <c r="R22" s="68"/>
      <c r="S22" s="68"/>
    </row>
    <row r="23" spans="1:19" ht="12.75" hidden="1">
      <c r="A23" s="17"/>
      <c r="B23" s="66"/>
      <c r="C23" s="41" t="s">
        <v>4</v>
      </c>
      <c r="D23" s="67" t="s">
        <v>5</v>
      </c>
      <c r="E23" s="79">
        <f>0.4</f>
        <v>0.4</v>
      </c>
      <c r="F23" s="93">
        <f>E23+SUM(G23:Q23)</f>
        <v>0.4</v>
      </c>
      <c r="G23" s="68"/>
      <c r="H23" s="68"/>
      <c r="I23" s="153"/>
      <c r="J23" s="69"/>
      <c r="K23" s="68"/>
      <c r="L23" s="70"/>
      <c r="M23" s="68"/>
      <c r="N23" s="168"/>
      <c r="O23" s="68"/>
      <c r="P23" s="68"/>
      <c r="Q23" s="68"/>
      <c r="R23" s="68"/>
      <c r="S23" s="68"/>
    </row>
    <row r="24" spans="1:19" ht="25.5" hidden="1">
      <c r="A24" s="17"/>
      <c r="B24" s="66" t="s">
        <v>420</v>
      </c>
      <c r="C24" s="41"/>
      <c r="D24" s="83" t="s">
        <v>101</v>
      </c>
      <c r="E24" s="79">
        <f>E25</f>
        <v>1305.3</v>
      </c>
      <c r="F24" s="79">
        <f aca="true" t="shared" si="6" ref="F24:S24">F25</f>
        <v>1351.6</v>
      </c>
      <c r="G24" s="68">
        <f t="shared" si="6"/>
        <v>0</v>
      </c>
      <c r="H24" s="68">
        <f t="shared" si="6"/>
        <v>0</v>
      </c>
      <c r="I24" s="70">
        <f t="shared" si="6"/>
        <v>46.3</v>
      </c>
      <c r="J24" s="68">
        <f t="shared" si="6"/>
        <v>0</v>
      </c>
      <c r="K24" s="68">
        <f t="shared" si="6"/>
        <v>0</v>
      </c>
      <c r="L24" s="68">
        <f t="shared" si="6"/>
        <v>0</v>
      </c>
      <c r="M24" s="68">
        <f t="shared" si="6"/>
        <v>0</v>
      </c>
      <c r="N24" s="168">
        <f t="shared" si="6"/>
        <v>0</v>
      </c>
      <c r="O24" s="68">
        <f t="shared" si="6"/>
        <v>0</v>
      </c>
      <c r="P24" s="68">
        <f t="shared" si="6"/>
        <v>0</v>
      </c>
      <c r="Q24" s="68">
        <f t="shared" si="6"/>
        <v>0</v>
      </c>
      <c r="R24" s="68">
        <f t="shared" si="6"/>
        <v>0</v>
      </c>
      <c r="S24" s="68">
        <f t="shared" si="6"/>
        <v>0</v>
      </c>
    </row>
    <row r="25" spans="1:19" ht="51" hidden="1">
      <c r="A25" s="17"/>
      <c r="B25" s="41"/>
      <c r="C25" s="41" t="s">
        <v>2</v>
      </c>
      <c r="D25" s="67" t="s">
        <v>94</v>
      </c>
      <c r="E25" s="79">
        <f>1305.3</f>
        <v>1305.3</v>
      </c>
      <c r="F25" s="93">
        <f>E25+SUM(G25:Q25)</f>
        <v>1351.6</v>
      </c>
      <c r="G25" s="68"/>
      <c r="H25" s="68"/>
      <c r="I25" s="153">
        <v>46.3</v>
      </c>
      <c r="J25" s="69"/>
      <c r="K25" s="68"/>
      <c r="L25" s="68"/>
      <c r="M25" s="68"/>
      <c r="N25" s="168"/>
      <c r="O25" s="68"/>
      <c r="P25" s="68"/>
      <c r="Q25" s="68"/>
      <c r="R25" s="68"/>
      <c r="S25" s="68"/>
    </row>
    <row r="26" spans="1:19" ht="33" customHeight="1" hidden="1">
      <c r="A26" s="17"/>
      <c r="B26" s="66" t="s">
        <v>423</v>
      </c>
      <c r="C26" s="41"/>
      <c r="D26" s="83" t="s">
        <v>92</v>
      </c>
      <c r="E26" s="79">
        <f>E27</f>
        <v>2031.6000000000001</v>
      </c>
      <c r="F26" s="79">
        <f aca="true" t="shared" si="7" ref="F26:S26">F27</f>
        <v>1951.41</v>
      </c>
      <c r="G26" s="68">
        <f t="shared" si="7"/>
        <v>0</v>
      </c>
      <c r="H26" s="68">
        <f t="shared" si="7"/>
        <v>0</v>
      </c>
      <c r="I26" s="70">
        <f t="shared" si="7"/>
        <v>0</v>
      </c>
      <c r="J26" s="68">
        <f t="shared" si="7"/>
        <v>0</v>
      </c>
      <c r="K26" s="68">
        <f t="shared" si="7"/>
        <v>0</v>
      </c>
      <c r="L26" s="68">
        <f t="shared" si="7"/>
        <v>0</v>
      </c>
      <c r="M26" s="68">
        <f t="shared" si="7"/>
        <v>0</v>
      </c>
      <c r="N26" s="168">
        <f t="shared" si="7"/>
        <v>0</v>
      </c>
      <c r="O26" s="68">
        <f t="shared" si="7"/>
        <v>0</v>
      </c>
      <c r="P26" s="68">
        <f t="shared" si="7"/>
        <v>-80.19</v>
      </c>
      <c r="Q26" s="68">
        <f t="shared" si="7"/>
        <v>0</v>
      </c>
      <c r="R26" s="68">
        <f t="shared" si="7"/>
        <v>0</v>
      </c>
      <c r="S26" s="68">
        <f t="shared" si="7"/>
        <v>0</v>
      </c>
    </row>
    <row r="27" spans="1:19" ht="63" customHeight="1" hidden="1">
      <c r="A27" s="17"/>
      <c r="B27" s="66"/>
      <c r="C27" s="41" t="s">
        <v>2</v>
      </c>
      <c r="D27" s="67" t="s">
        <v>94</v>
      </c>
      <c r="E27" s="79">
        <f>2179.9-148.3</f>
        <v>2031.6000000000001</v>
      </c>
      <c r="F27" s="93">
        <f>E27+SUM(G27:Q27)</f>
        <v>1951.41</v>
      </c>
      <c r="G27" s="68"/>
      <c r="H27" s="68"/>
      <c r="I27" s="153"/>
      <c r="J27" s="69"/>
      <c r="K27" s="68"/>
      <c r="L27" s="68"/>
      <c r="M27" s="68"/>
      <c r="N27" s="168"/>
      <c r="O27" s="68"/>
      <c r="P27" s="68">
        <v>-80.19</v>
      </c>
      <c r="Q27" s="68"/>
      <c r="R27" s="68"/>
      <c r="S27" s="68"/>
    </row>
    <row r="28" spans="1:19" ht="38.25" hidden="1">
      <c r="A28" s="17"/>
      <c r="B28" s="63" t="s">
        <v>424</v>
      </c>
      <c r="C28" s="11"/>
      <c r="D28" s="113" t="s">
        <v>142</v>
      </c>
      <c r="E28" s="95">
        <f>E29</f>
        <v>371.6</v>
      </c>
      <c r="F28" s="95">
        <f aca="true" t="shared" si="8" ref="F28:S29">F29</f>
        <v>371.6</v>
      </c>
      <c r="G28" s="73">
        <f t="shared" si="8"/>
        <v>0</v>
      </c>
      <c r="H28" s="73">
        <f t="shared" si="8"/>
        <v>0</v>
      </c>
      <c r="I28" s="77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123">
        <f t="shared" si="8"/>
        <v>0</v>
      </c>
      <c r="O28" s="73">
        <f t="shared" si="8"/>
        <v>0</v>
      </c>
      <c r="P28" s="73">
        <f t="shared" si="8"/>
        <v>0</v>
      </c>
      <c r="Q28" s="73">
        <f t="shared" si="8"/>
        <v>0</v>
      </c>
      <c r="R28" s="73">
        <f t="shared" si="8"/>
        <v>0</v>
      </c>
      <c r="S28" s="73">
        <f t="shared" si="8"/>
        <v>0</v>
      </c>
    </row>
    <row r="29" spans="1:19" ht="15" customHeight="1" hidden="1">
      <c r="A29" s="5"/>
      <c r="B29" s="66" t="s">
        <v>486</v>
      </c>
      <c r="C29" s="41"/>
      <c r="D29" s="67" t="s">
        <v>514</v>
      </c>
      <c r="E29" s="79">
        <f>E30</f>
        <v>371.6</v>
      </c>
      <c r="F29" s="79">
        <f t="shared" si="8"/>
        <v>371.6</v>
      </c>
      <c r="G29" s="68">
        <f t="shared" si="8"/>
        <v>0</v>
      </c>
      <c r="H29" s="68">
        <f t="shared" si="8"/>
        <v>0</v>
      </c>
      <c r="I29" s="70">
        <f t="shared" si="8"/>
        <v>0</v>
      </c>
      <c r="J29" s="68">
        <f t="shared" si="8"/>
        <v>0</v>
      </c>
      <c r="K29" s="68">
        <f t="shared" si="8"/>
        <v>0</v>
      </c>
      <c r="L29" s="68">
        <f t="shared" si="8"/>
        <v>0</v>
      </c>
      <c r="M29" s="68">
        <f t="shared" si="8"/>
        <v>0</v>
      </c>
      <c r="N29" s="168">
        <f t="shared" si="8"/>
        <v>0</v>
      </c>
      <c r="O29" s="68">
        <f t="shared" si="8"/>
        <v>0</v>
      </c>
      <c r="P29" s="68">
        <f t="shared" si="8"/>
        <v>0</v>
      </c>
      <c r="Q29" s="68">
        <f t="shared" si="8"/>
        <v>0</v>
      </c>
      <c r="R29" s="68">
        <f t="shared" si="8"/>
        <v>0</v>
      </c>
      <c r="S29" s="68">
        <f t="shared" si="8"/>
        <v>0</v>
      </c>
    </row>
    <row r="30" spans="1:19" ht="12.75" hidden="1">
      <c r="A30" s="17"/>
      <c r="B30" s="66"/>
      <c r="C30" s="41" t="s">
        <v>9</v>
      </c>
      <c r="D30" s="67" t="s">
        <v>37</v>
      </c>
      <c r="E30" s="79">
        <v>371.6</v>
      </c>
      <c r="F30" s="93">
        <f>E30+SUM(G30:Q30)</f>
        <v>371.6</v>
      </c>
      <c r="G30" s="68"/>
      <c r="H30" s="68"/>
      <c r="I30" s="153"/>
      <c r="J30" s="69"/>
      <c r="K30" s="68"/>
      <c r="L30" s="68"/>
      <c r="M30" s="68"/>
      <c r="N30" s="168"/>
      <c r="O30" s="68"/>
      <c r="P30" s="68"/>
      <c r="Q30" s="68"/>
      <c r="R30" s="68"/>
      <c r="S30" s="68"/>
    </row>
    <row r="31" spans="1:19" ht="48" hidden="1">
      <c r="A31" s="5" t="s">
        <v>35</v>
      </c>
      <c r="B31" s="18"/>
      <c r="C31" s="17"/>
      <c r="D31" s="13" t="s">
        <v>36</v>
      </c>
      <c r="E31" s="119">
        <f>E39+E43+E32+E54+E57</f>
        <v>23666.4</v>
      </c>
      <c r="F31" s="119">
        <f>F39+F43+F32+F54+F57</f>
        <v>26375.978</v>
      </c>
      <c r="G31" s="119">
        <f>G39+G43+G32+G54+G57</f>
        <v>-17.64</v>
      </c>
      <c r="H31" s="119">
        <f>H39+H43+H32+H54+H57</f>
        <v>148.038</v>
      </c>
      <c r="I31" s="121">
        <f>I39+I43+I32+I54+I57</f>
        <v>2369.6800000000003</v>
      </c>
      <c r="J31" s="119">
        <f aca="true" t="shared" si="9" ref="J31:Q31">J39+J43+J32+J54</f>
        <v>135</v>
      </c>
      <c r="K31" s="119">
        <f t="shared" si="9"/>
        <v>0</v>
      </c>
      <c r="L31" s="119">
        <f t="shared" si="9"/>
        <v>-25.5</v>
      </c>
      <c r="M31" s="119">
        <f t="shared" si="9"/>
        <v>0</v>
      </c>
      <c r="N31" s="171">
        <f t="shared" si="9"/>
        <v>100</v>
      </c>
      <c r="O31" s="119">
        <f t="shared" si="9"/>
        <v>0</v>
      </c>
      <c r="P31" s="119">
        <f t="shared" si="9"/>
        <v>0</v>
      </c>
      <c r="Q31" s="119">
        <f t="shared" si="9"/>
        <v>0</v>
      </c>
      <c r="R31" s="119">
        <f>R39+R43+R32+R54</f>
        <v>0</v>
      </c>
      <c r="S31" s="119">
        <f>S39+S43+S32+S54</f>
        <v>0</v>
      </c>
    </row>
    <row r="32" spans="1:19" s="25" customFormat="1" ht="51" hidden="1">
      <c r="A32" s="17"/>
      <c r="B32" s="63" t="s">
        <v>174</v>
      </c>
      <c r="C32" s="11"/>
      <c r="D32" s="60" t="s">
        <v>110</v>
      </c>
      <c r="E32" s="73">
        <f aca="true" t="shared" si="10" ref="E32:S34">E33</f>
        <v>6046.4</v>
      </c>
      <c r="F32" s="73">
        <f t="shared" si="10"/>
        <v>6547.4</v>
      </c>
      <c r="G32" s="73">
        <f t="shared" si="10"/>
        <v>0</v>
      </c>
      <c r="H32" s="73">
        <f t="shared" si="10"/>
        <v>0</v>
      </c>
      <c r="I32" s="77">
        <f t="shared" si="10"/>
        <v>501</v>
      </c>
      <c r="J32" s="73">
        <f t="shared" si="10"/>
        <v>0</v>
      </c>
      <c r="K32" s="73">
        <f t="shared" si="10"/>
        <v>0</v>
      </c>
      <c r="L32" s="73">
        <f t="shared" si="10"/>
        <v>0</v>
      </c>
      <c r="M32" s="73">
        <f t="shared" si="10"/>
        <v>0</v>
      </c>
      <c r="N32" s="123">
        <f t="shared" si="10"/>
        <v>0</v>
      </c>
      <c r="O32" s="73">
        <f t="shared" si="10"/>
        <v>0</v>
      </c>
      <c r="P32" s="73">
        <f t="shared" si="10"/>
        <v>0</v>
      </c>
      <c r="Q32" s="73">
        <f t="shared" si="10"/>
        <v>0</v>
      </c>
      <c r="R32" s="73">
        <f t="shared" si="10"/>
        <v>0</v>
      </c>
      <c r="S32" s="73">
        <f t="shared" si="10"/>
        <v>0</v>
      </c>
    </row>
    <row r="33" spans="1:19" s="25" customFormat="1" ht="25.5" hidden="1">
      <c r="A33" s="17"/>
      <c r="B33" s="82" t="s">
        <v>175</v>
      </c>
      <c r="C33" s="41"/>
      <c r="D33" s="61" t="s">
        <v>111</v>
      </c>
      <c r="E33" s="79">
        <f>E34</f>
        <v>6046.4</v>
      </c>
      <c r="F33" s="79">
        <f t="shared" si="10"/>
        <v>6547.4</v>
      </c>
      <c r="G33" s="68">
        <f t="shared" si="10"/>
        <v>0</v>
      </c>
      <c r="H33" s="68">
        <f t="shared" si="10"/>
        <v>0</v>
      </c>
      <c r="I33" s="70">
        <f t="shared" si="10"/>
        <v>501</v>
      </c>
      <c r="J33" s="68">
        <f t="shared" si="10"/>
        <v>0</v>
      </c>
      <c r="K33" s="68">
        <f t="shared" si="10"/>
        <v>0</v>
      </c>
      <c r="L33" s="68">
        <f t="shared" si="10"/>
        <v>0</v>
      </c>
      <c r="M33" s="68">
        <f t="shared" si="10"/>
        <v>0</v>
      </c>
      <c r="N33" s="168">
        <f t="shared" si="10"/>
        <v>0</v>
      </c>
      <c r="O33" s="68">
        <f t="shared" si="10"/>
        <v>0</v>
      </c>
      <c r="P33" s="68">
        <f t="shared" si="10"/>
        <v>0</v>
      </c>
      <c r="Q33" s="68">
        <f t="shared" si="10"/>
        <v>0</v>
      </c>
      <c r="R33" s="68">
        <f t="shared" si="10"/>
        <v>0</v>
      </c>
      <c r="S33" s="68">
        <f t="shared" si="10"/>
        <v>0</v>
      </c>
    </row>
    <row r="34" spans="1:19" s="25" customFormat="1" ht="25.5" hidden="1">
      <c r="A34" s="17"/>
      <c r="B34" s="66" t="s">
        <v>180</v>
      </c>
      <c r="C34" s="41"/>
      <c r="D34" s="67" t="s">
        <v>165</v>
      </c>
      <c r="E34" s="79">
        <f>E35</f>
        <v>6046.4</v>
      </c>
      <c r="F34" s="79">
        <f t="shared" si="10"/>
        <v>6547.4</v>
      </c>
      <c r="G34" s="68">
        <f t="shared" si="10"/>
        <v>0</v>
      </c>
      <c r="H34" s="68">
        <f t="shared" si="10"/>
        <v>0</v>
      </c>
      <c r="I34" s="70">
        <f t="shared" si="10"/>
        <v>501</v>
      </c>
      <c r="J34" s="68">
        <f t="shared" si="10"/>
        <v>0</v>
      </c>
      <c r="K34" s="68">
        <f t="shared" si="10"/>
        <v>0</v>
      </c>
      <c r="L34" s="68">
        <f t="shared" si="10"/>
        <v>0</v>
      </c>
      <c r="M34" s="68">
        <f t="shared" si="10"/>
        <v>0</v>
      </c>
      <c r="N34" s="168">
        <f t="shared" si="10"/>
        <v>0</v>
      </c>
      <c r="O34" s="68">
        <f t="shared" si="10"/>
        <v>0</v>
      </c>
      <c r="P34" s="68">
        <f t="shared" si="10"/>
        <v>0</v>
      </c>
      <c r="Q34" s="68">
        <f t="shared" si="10"/>
        <v>0</v>
      </c>
      <c r="R34" s="68">
        <f t="shared" si="10"/>
        <v>0</v>
      </c>
      <c r="S34" s="68">
        <f t="shared" si="10"/>
        <v>0</v>
      </c>
    </row>
    <row r="35" spans="1:19" s="25" customFormat="1" ht="25.5" hidden="1">
      <c r="A35" s="17"/>
      <c r="B35" s="66" t="s">
        <v>181</v>
      </c>
      <c r="C35" s="41"/>
      <c r="D35" s="57" t="s">
        <v>166</v>
      </c>
      <c r="E35" s="93">
        <f>E36+E37+E38</f>
        <v>6046.4</v>
      </c>
      <c r="F35" s="93">
        <f aca="true" t="shared" si="11" ref="F35:Q35">F36+F37+F38</f>
        <v>6547.4</v>
      </c>
      <c r="G35" s="64">
        <f t="shared" si="11"/>
        <v>0</v>
      </c>
      <c r="H35" s="64">
        <f t="shared" si="11"/>
        <v>0</v>
      </c>
      <c r="I35" s="78">
        <f t="shared" si="11"/>
        <v>501</v>
      </c>
      <c r="J35" s="64">
        <f t="shared" si="11"/>
        <v>0</v>
      </c>
      <c r="K35" s="64">
        <f t="shared" si="11"/>
        <v>0</v>
      </c>
      <c r="L35" s="64">
        <f t="shared" si="11"/>
        <v>0</v>
      </c>
      <c r="M35" s="64">
        <f t="shared" si="11"/>
        <v>0</v>
      </c>
      <c r="N35" s="172">
        <f t="shared" si="11"/>
        <v>0</v>
      </c>
      <c r="O35" s="64">
        <f t="shared" si="11"/>
        <v>0</v>
      </c>
      <c r="P35" s="64">
        <f t="shared" si="11"/>
        <v>0</v>
      </c>
      <c r="Q35" s="64">
        <f t="shared" si="11"/>
        <v>0</v>
      </c>
      <c r="R35" s="64">
        <f>R36+R37+R38</f>
        <v>0</v>
      </c>
      <c r="S35" s="64">
        <f>S36+S37+S38</f>
        <v>0</v>
      </c>
    </row>
    <row r="36" spans="1:19" s="25" customFormat="1" ht="51" hidden="1">
      <c r="A36" s="17"/>
      <c r="B36" s="66"/>
      <c r="C36" s="41" t="s">
        <v>2</v>
      </c>
      <c r="D36" s="67" t="s">
        <v>94</v>
      </c>
      <c r="E36" s="93">
        <f>5445.9</f>
        <v>5445.9</v>
      </c>
      <c r="F36" s="93">
        <f>E36+SUM(G36:Q36)</f>
        <v>5946.9</v>
      </c>
      <c r="G36" s="64"/>
      <c r="H36" s="68"/>
      <c r="I36" s="153">
        <f>501</f>
        <v>501</v>
      </c>
      <c r="J36" s="69"/>
      <c r="K36" s="70"/>
      <c r="L36" s="64"/>
      <c r="M36" s="68"/>
      <c r="N36" s="168"/>
      <c r="O36" s="70"/>
      <c r="P36" s="70"/>
      <c r="Q36" s="70"/>
      <c r="R36" s="70"/>
      <c r="S36" s="70"/>
    </row>
    <row r="37" spans="1:19" s="25" customFormat="1" ht="25.5" hidden="1">
      <c r="A37" s="17"/>
      <c r="B37" s="66"/>
      <c r="C37" s="41" t="s">
        <v>3</v>
      </c>
      <c r="D37" s="67" t="s">
        <v>95</v>
      </c>
      <c r="E37" s="93">
        <v>600.3</v>
      </c>
      <c r="F37" s="93">
        <f>E37+SUM(G37:Q37)</f>
        <v>600.3</v>
      </c>
      <c r="G37" s="64"/>
      <c r="H37" s="64"/>
      <c r="I37" s="69"/>
      <c r="J37" s="65"/>
      <c r="K37" s="64"/>
      <c r="L37" s="64"/>
      <c r="M37" s="64"/>
      <c r="N37" s="172"/>
      <c r="O37" s="64"/>
      <c r="P37" s="64"/>
      <c r="Q37" s="64"/>
      <c r="R37" s="64"/>
      <c r="S37" s="64"/>
    </row>
    <row r="38" spans="1:19" s="25" customFormat="1" ht="12.75" hidden="1">
      <c r="A38" s="17"/>
      <c r="B38" s="66"/>
      <c r="C38" s="41" t="s">
        <v>4</v>
      </c>
      <c r="D38" s="67" t="s">
        <v>5</v>
      </c>
      <c r="E38" s="93">
        <v>0.2</v>
      </c>
      <c r="F38" s="93">
        <f>E38+SUM(G38:Q38)</f>
        <v>0.2</v>
      </c>
      <c r="G38" s="74"/>
      <c r="H38" s="64"/>
      <c r="I38" s="69"/>
      <c r="J38" s="65"/>
      <c r="K38" s="64"/>
      <c r="L38" s="64"/>
      <c r="M38" s="64"/>
      <c r="N38" s="172"/>
      <c r="O38" s="64"/>
      <c r="P38" s="64"/>
      <c r="Q38" s="64">
        <f>Q39</f>
        <v>0</v>
      </c>
      <c r="R38" s="64">
        <f>R39</f>
        <v>0</v>
      </c>
      <c r="S38" s="64">
        <f>S39</f>
        <v>0</v>
      </c>
    </row>
    <row r="39" spans="1:19" ht="38.25" hidden="1">
      <c r="A39" s="5"/>
      <c r="B39" s="63" t="s">
        <v>260</v>
      </c>
      <c r="C39" s="11"/>
      <c r="D39" s="60" t="s">
        <v>439</v>
      </c>
      <c r="E39" s="95">
        <f>E40</f>
        <v>21</v>
      </c>
      <c r="F39" s="95">
        <f aca="true" t="shared" si="12" ref="F39:S41">F40</f>
        <v>21</v>
      </c>
      <c r="G39" s="73">
        <f t="shared" si="12"/>
        <v>0</v>
      </c>
      <c r="H39" s="73">
        <f t="shared" si="12"/>
        <v>0</v>
      </c>
      <c r="I39" s="77">
        <f t="shared" si="12"/>
        <v>0</v>
      </c>
      <c r="J39" s="73">
        <f t="shared" si="12"/>
        <v>0</v>
      </c>
      <c r="K39" s="73">
        <f t="shared" si="12"/>
        <v>0</v>
      </c>
      <c r="L39" s="73">
        <f t="shared" si="12"/>
        <v>0</v>
      </c>
      <c r="M39" s="73">
        <f t="shared" si="12"/>
        <v>0</v>
      </c>
      <c r="N39" s="123">
        <f t="shared" si="12"/>
        <v>0</v>
      </c>
      <c r="O39" s="73">
        <f t="shared" si="12"/>
        <v>0</v>
      </c>
      <c r="P39" s="73">
        <f t="shared" si="12"/>
        <v>0</v>
      </c>
      <c r="Q39" s="73">
        <f t="shared" si="12"/>
        <v>0</v>
      </c>
      <c r="R39" s="73">
        <f t="shared" si="12"/>
        <v>0</v>
      </c>
      <c r="S39" s="73">
        <f t="shared" si="12"/>
        <v>0</v>
      </c>
    </row>
    <row r="40" spans="1:19" ht="38.25" hidden="1">
      <c r="A40" s="5"/>
      <c r="B40" s="82" t="s">
        <v>261</v>
      </c>
      <c r="C40" s="99"/>
      <c r="D40" s="61" t="s">
        <v>263</v>
      </c>
      <c r="E40" s="79">
        <f>E41</f>
        <v>21</v>
      </c>
      <c r="F40" s="79">
        <f t="shared" si="12"/>
        <v>21</v>
      </c>
      <c r="G40" s="68">
        <f t="shared" si="12"/>
        <v>0</v>
      </c>
      <c r="H40" s="68">
        <f t="shared" si="12"/>
        <v>0</v>
      </c>
      <c r="I40" s="70">
        <f t="shared" si="12"/>
        <v>0</v>
      </c>
      <c r="J40" s="68">
        <f t="shared" si="12"/>
        <v>0</v>
      </c>
      <c r="K40" s="68">
        <f t="shared" si="12"/>
        <v>0</v>
      </c>
      <c r="L40" s="68">
        <f t="shared" si="12"/>
        <v>0</v>
      </c>
      <c r="M40" s="68">
        <f t="shared" si="12"/>
        <v>0</v>
      </c>
      <c r="N40" s="168">
        <f t="shared" si="12"/>
        <v>0</v>
      </c>
      <c r="O40" s="68">
        <f t="shared" si="12"/>
        <v>0</v>
      </c>
      <c r="P40" s="68">
        <f t="shared" si="12"/>
        <v>0</v>
      </c>
      <c r="Q40" s="68">
        <f t="shared" si="12"/>
        <v>0</v>
      </c>
      <c r="R40" s="68">
        <f t="shared" si="12"/>
        <v>0</v>
      </c>
      <c r="S40" s="68">
        <f t="shared" si="12"/>
        <v>0</v>
      </c>
    </row>
    <row r="41" spans="1:19" ht="25.5" hidden="1">
      <c r="A41" s="5"/>
      <c r="B41" s="66" t="s">
        <v>262</v>
      </c>
      <c r="C41" s="41"/>
      <c r="D41" s="57" t="s">
        <v>264</v>
      </c>
      <c r="E41" s="79">
        <f>E42</f>
        <v>21</v>
      </c>
      <c r="F41" s="79">
        <f t="shared" si="12"/>
        <v>21</v>
      </c>
      <c r="G41" s="68">
        <f t="shared" si="12"/>
        <v>0</v>
      </c>
      <c r="H41" s="68">
        <f t="shared" si="12"/>
        <v>0</v>
      </c>
      <c r="I41" s="70">
        <f t="shared" si="12"/>
        <v>0</v>
      </c>
      <c r="J41" s="68">
        <f t="shared" si="12"/>
        <v>0</v>
      </c>
      <c r="K41" s="68">
        <f t="shared" si="12"/>
        <v>0</v>
      </c>
      <c r="L41" s="68">
        <f t="shared" si="12"/>
        <v>0</v>
      </c>
      <c r="M41" s="68">
        <f t="shared" si="12"/>
        <v>0</v>
      </c>
      <c r="N41" s="168">
        <f t="shared" si="12"/>
        <v>0</v>
      </c>
      <c r="O41" s="68">
        <f t="shared" si="12"/>
        <v>0</v>
      </c>
      <c r="P41" s="68">
        <f t="shared" si="12"/>
        <v>0</v>
      </c>
      <c r="Q41" s="68">
        <f t="shared" si="12"/>
        <v>0</v>
      </c>
      <c r="R41" s="68">
        <f t="shared" si="12"/>
        <v>0</v>
      </c>
      <c r="S41" s="68">
        <f t="shared" si="12"/>
        <v>0</v>
      </c>
    </row>
    <row r="42" spans="1:19" ht="25.5" hidden="1">
      <c r="A42" s="5"/>
      <c r="B42" s="66"/>
      <c r="C42" s="41" t="s">
        <v>3</v>
      </c>
      <c r="D42" s="67" t="s">
        <v>95</v>
      </c>
      <c r="E42" s="79">
        <f>21</f>
        <v>21</v>
      </c>
      <c r="F42" s="93">
        <f>E42+SUM(G42:Q42)</f>
        <v>21</v>
      </c>
      <c r="G42" s="68"/>
      <c r="H42" s="68"/>
      <c r="I42" s="153"/>
      <c r="J42" s="69"/>
      <c r="K42" s="68"/>
      <c r="L42" s="68"/>
      <c r="M42" s="68"/>
      <c r="N42" s="168"/>
      <c r="O42" s="68"/>
      <c r="P42" s="68"/>
      <c r="Q42" s="68"/>
      <c r="R42" s="68"/>
      <c r="S42" s="68"/>
    </row>
    <row r="43" spans="1:19" ht="48.75" customHeight="1" hidden="1">
      <c r="A43" s="5"/>
      <c r="B43" s="63" t="s">
        <v>419</v>
      </c>
      <c r="C43" s="11"/>
      <c r="D43" s="84" t="s">
        <v>154</v>
      </c>
      <c r="E43" s="95">
        <f>E44+E48+E52+E50</f>
        <v>17599</v>
      </c>
      <c r="F43" s="95">
        <f aca="true" t="shared" si="13" ref="F43:K43">F44+F48+F52+F50</f>
        <v>19580.278</v>
      </c>
      <c r="G43" s="95">
        <f t="shared" si="13"/>
        <v>-17.64</v>
      </c>
      <c r="H43" s="95">
        <f t="shared" si="13"/>
        <v>148.038</v>
      </c>
      <c r="I43" s="131">
        <f t="shared" si="13"/>
        <v>1641.38</v>
      </c>
      <c r="J43" s="95">
        <f t="shared" si="13"/>
        <v>135</v>
      </c>
      <c r="K43" s="95">
        <f t="shared" si="13"/>
        <v>0</v>
      </c>
      <c r="L43" s="95">
        <f aca="true" t="shared" si="14" ref="L43:Q43">L44+L48+L52</f>
        <v>-25.5</v>
      </c>
      <c r="M43" s="95">
        <f t="shared" si="14"/>
        <v>0</v>
      </c>
      <c r="N43" s="169">
        <f t="shared" si="14"/>
        <v>100</v>
      </c>
      <c r="O43" s="95">
        <f t="shared" si="14"/>
        <v>0</v>
      </c>
      <c r="P43" s="95">
        <f t="shared" si="14"/>
        <v>0</v>
      </c>
      <c r="Q43" s="95">
        <f t="shared" si="14"/>
        <v>0</v>
      </c>
      <c r="R43" s="95">
        <f>R44+R48+R52</f>
        <v>0</v>
      </c>
      <c r="S43" s="95">
        <f>S44+S48+S52</f>
        <v>0</v>
      </c>
    </row>
    <row r="44" spans="1:19" ht="25.5" hidden="1">
      <c r="A44" s="17"/>
      <c r="B44" s="66" t="s">
        <v>421</v>
      </c>
      <c r="C44" s="41"/>
      <c r="D44" s="83" t="s">
        <v>166</v>
      </c>
      <c r="E44" s="79">
        <f>E45+E46+E47</f>
        <v>17599</v>
      </c>
      <c r="F44" s="79">
        <f aca="true" t="shared" si="15" ref="F44:Q44">F45+F46+F47</f>
        <v>19432.239999999998</v>
      </c>
      <c r="G44" s="68">
        <f t="shared" si="15"/>
        <v>-17.64</v>
      </c>
      <c r="H44" s="68">
        <f t="shared" si="15"/>
        <v>0</v>
      </c>
      <c r="I44" s="70">
        <f t="shared" si="15"/>
        <v>1641.38</v>
      </c>
      <c r="J44" s="68">
        <f t="shared" si="15"/>
        <v>135</v>
      </c>
      <c r="K44" s="68">
        <f t="shared" si="15"/>
        <v>0</v>
      </c>
      <c r="L44" s="68">
        <f t="shared" si="15"/>
        <v>-25.5</v>
      </c>
      <c r="M44" s="68">
        <f t="shared" si="15"/>
        <v>0</v>
      </c>
      <c r="N44" s="168">
        <f t="shared" si="15"/>
        <v>100</v>
      </c>
      <c r="O44" s="68">
        <f t="shared" si="15"/>
        <v>0</v>
      </c>
      <c r="P44" s="68">
        <f t="shared" si="15"/>
        <v>0</v>
      </c>
      <c r="Q44" s="68">
        <f t="shared" si="15"/>
        <v>0</v>
      </c>
      <c r="R44" s="68">
        <f>R45+R46+R47</f>
        <v>0</v>
      </c>
      <c r="S44" s="68">
        <f>S45+S46+S47</f>
        <v>0</v>
      </c>
    </row>
    <row r="45" spans="1:19" ht="51" hidden="1">
      <c r="A45" s="17"/>
      <c r="B45" s="66"/>
      <c r="C45" s="41" t="s">
        <v>2</v>
      </c>
      <c r="D45" s="67" t="s">
        <v>94</v>
      </c>
      <c r="E45" s="79">
        <f>14797.1</f>
        <v>14797.1</v>
      </c>
      <c r="F45" s="93">
        <f>E45+SUM(G45:Q45)</f>
        <v>16423.48</v>
      </c>
      <c r="G45" s="68"/>
      <c r="H45" s="68"/>
      <c r="I45" s="70">
        <v>1626.38</v>
      </c>
      <c r="J45" s="68"/>
      <c r="K45" s="68"/>
      <c r="L45" s="68"/>
      <c r="M45" s="68"/>
      <c r="N45" s="168"/>
      <c r="O45" s="68"/>
      <c r="P45" s="68"/>
      <c r="Q45" s="68"/>
      <c r="R45" s="68"/>
      <c r="S45" s="68"/>
    </row>
    <row r="46" spans="1:19" ht="25.5" hidden="1">
      <c r="A46" s="5"/>
      <c r="B46" s="66"/>
      <c r="C46" s="41" t="s">
        <v>3</v>
      </c>
      <c r="D46" s="67" t="s">
        <v>95</v>
      </c>
      <c r="E46" s="79">
        <f>2784.3</f>
        <v>2784.3</v>
      </c>
      <c r="F46" s="93">
        <f>E46+SUM(G46:Q46)</f>
        <v>2658.6600000000003</v>
      </c>
      <c r="G46" s="68">
        <v>-17.64</v>
      </c>
      <c r="H46" s="68"/>
      <c r="I46" s="69">
        <v>-60</v>
      </c>
      <c r="J46" s="69">
        <v>60</v>
      </c>
      <c r="K46" s="68">
        <v>-22.5</v>
      </c>
      <c r="L46" s="68">
        <f>4.5-40</f>
        <v>-35.5</v>
      </c>
      <c r="M46" s="68"/>
      <c r="N46" s="168"/>
      <c r="O46" s="68"/>
      <c r="P46" s="68"/>
      <c r="Q46" s="68">
        <v>-50</v>
      </c>
      <c r="R46" s="68"/>
      <c r="S46" s="68"/>
    </row>
    <row r="47" spans="1:19" ht="12.75" hidden="1">
      <c r="A47" s="5"/>
      <c r="B47" s="66"/>
      <c r="C47" s="41" t="s">
        <v>4</v>
      </c>
      <c r="D47" s="67" t="s">
        <v>5</v>
      </c>
      <c r="E47" s="79">
        <f>17.6</f>
        <v>17.6</v>
      </c>
      <c r="F47" s="93">
        <f>E47+SUM(G47:Q47)</f>
        <v>350.1</v>
      </c>
      <c r="G47" s="68"/>
      <c r="H47" s="68"/>
      <c r="I47" s="69">
        <v>75</v>
      </c>
      <c r="J47" s="69">
        <v>75</v>
      </c>
      <c r="K47" s="68">
        <v>22.5</v>
      </c>
      <c r="L47" s="68">
        <f>10</f>
        <v>10</v>
      </c>
      <c r="M47" s="68"/>
      <c r="N47" s="168">
        <v>100</v>
      </c>
      <c r="O47" s="68"/>
      <c r="P47" s="68"/>
      <c r="Q47" s="68">
        <v>50</v>
      </c>
      <c r="R47" s="68"/>
      <c r="S47" s="68"/>
    </row>
    <row r="48" spans="1:19" ht="25.5" hidden="1">
      <c r="A48" s="5"/>
      <c r="B48" s="66" t="s">
        <v>445</v>
      </c>
      <c r="C48" s="41"/>
      <c r="D48" s="67" t="s">
        <v>447</v>
      </c>
      <c r="E48" s="79">
        <f>E49</f>
        <v>0</v>
      </c>
      <c r="F48" s="79">
        <f aca="true" t="shared" si="16" ref="F48:S48">F49</f>
        <v>25.9</v>
      </c>
      <c r="G48" s="79">
        <f t="shared" si="16"/>
        <v>0</v>
      </c>
      <c r="H48" s="79">
        <f t="shared" si="16"/>
        <v>25.9</v>
      </c>
      <c r="I48" s="96">
        <f t="shared" si="16"/>
        <v>0</v>
      </c>
      <c r="J48" s="79">
        <f t="shared" si="16"/>
        <v>0</v>
      </c>
      <c r="K48" s="79">
        <f t="shared" si="16"/>
        <v>0</v>
      </c>
      <c r="L48" s="79">
        <f t="shared" si="16"/>
        <v>0</v>
      </c>
      <c r="M48" s="79">
        <f t="shared" si="16"/>
        <v>0</v>
      </c>
      <c r="N48" s="170">
        <f t="shared" si="16"/>
        <v>0</v>
      </c>
      <c r="O48" s="79">
        <f t="shared" si="16"/>
        <v>0</v>
      </c>
      <c r="P48" s="79">
        <f t="shared" si="16"/>
        <v>0</v>
      </c>
      <c r="Q48" s="79">
        <f t="shared" si="16"/>
        <v>0</v>
      </c>
      <c r="R48" s="79">
        <f t="shared" si="16"/>
        <v>0</v>
      </c>
      <c r="S48" s="79">
        <f t="shared" si="16"/>
        <v>0</v>
      </c>
    </row>
    <row r="49" spans="1:19" ht="25.5" hidden="1">
      <c r="A49" s="5"/>
      <c r="B49" s="66"/>
      <c r="C49" s="41" t="s">
        <v>3</v>
      </c>
      <c r="D49" s="67" t="s">
        <v>95</v>
      </c>
      <c r="E49" s="79"/>
      <c r="F49" s="93">
        <f>E49+SUM(G49:Q49)</f>
        <v>25.9</v>
      </c>
      <c r="G49" s="68"/>
      <c r="H49" s="68">
        <v>25.9</v>
      </c>
      <c r="I49" s="153"/>
      <c r="J49" s="69"/>
      <c r="K49" s="68"/>
      <c r="L49" s="70"/>
      <c r="M49" s="68"/>
      <c r="N49" s="168"/>
      <c r="O49" s="68"/>
      <c r="P49" s="68"/>
      <c r="Q49" s="68"/>
      <c r="R49" s="68"/>
      <c r="S49" s="68"/>
    </row>
    <row r="50" spans="1:19" ht="32.25" customHeight="1" hidden="1">
      <c r="A50" s="5"/>
      <c r="B50" s="66" t="s">
        <v>465</v>
      </c>
      <c r="C50" s="41"/>
      <c r="D50" s="67" t="s">
        <v>466</v>
      </c>
      <c r="E50" s="79">
        <f>E51</f>
        <v>0</v>
      </c>
      <c r="F50" s="79">
        <f aca="true" t="shared" si="17" ref="F50:K50">F51</f>
        <v>122.138</v>
      </c>
      <c r="G50" s="79">
        <f t="shared" si="17"/>
        <v>0</v>
      </c>
      <c r="H50" s="79">
        <f t="shared" si="17"/>
        <v>122.138</v>
      </c>
      <c r="I50" s="96">
        <f t="shared" si="17"/>
        <v>0</v>
      </c>
      <c r="J50" s="79">
        <f t="shared" si="17"/>
        <v>0</v>
      </c>
      <c r="K50" s="79">
        <f t="shared" si="17"/>
        <v>0</v>
      </c>
      <c r="L50" s="70"/>
      <c r="M50" s="68"/>
      <c r="N50" s="168"/>
      <c r="O50" s="68"/>
      <c r="P50" s="68"/>
      <c r="Q50" s="68"/>
      <c r="R50" s="68"/>
      <c r="S50" s="68"/>
    </row>
    <row r="51" spans="1:19" ht="51" hidden="1">
      <c r="A51" s="5"/>
      <c r="B51" s="66"/>
      <c r="C51" s="41" t="s">
        <v>2</v>
      </c>
      <c r="D51" s="67" t="s">
        <v>94</v>
      </c>
      <c r="E51" s="79"/>
      <c r="F51" s="93">
        <f>E51+SUM(G51:Q51)</f>
        <v>122.138</v>
      </c>
      <c r="G51" s="68"/>
      <c r="H51" s="68">
        <v>122.138</v>
      </c>
      <c r="I51" s="153"/>
      <c r="J51" s="69"/>
      <c r="K51" s="68"/>
      <c r="L51" s="70"/>
      <c r="M51" s="68"/>
      <c r="N51" s="168"/>
      <c r="O51" s="68"/>
      <c r="P51" s="68"/>
      <c r="Q51" s="68"/>
      <c r="R51" s="68"/>
      <c r="S51" s="68"/>
    </row>
    <row r="52" spans="1:19" ht="76.5" hidden="1">
      <c r="A52" s="5"/>
      <c r="B52" s="66" t="s">
        <v>446</v>
      </c>
      <c r="C52" s="41"/>
      <c r="D52" s="67" t="s">
        <v>448</v>
      </c>
      <c r="E52" s="79">
        <f>E53</f>
        <v>0</v>
      </c>
      <c r="F52" s="79">
        <f aca="true" t="shared" si="18" ref="F52:S52">F53</f>
        <v>0</v>
      </c>
      <c r="G52" s="79">
        <f t="shared" si="18"/>
        <v>0</v>
      </c>
      <c r="H52" s="79">
        <f t="shared" si="18"/>
        <v>0</v>
      </c>
      <c r="I52" s="96">
        <f t="shared" si="18"/>
        <v>0</v>
      </c>
      <c r="J52" s="79">
        <f t="shared" si="18"/>
        <v>0</v>
      </c>
      <c r="K52" s="79">
        <f t="shared" si="18"/>
        <v>0</v>
      </c>
      <c r="L52" s="79">
        <f t="shared" si="18"/>
        <v>0</v>
      </c>
      <c r="M52" s="79">
        <f t="shared" si="18"/>
        <v>0</v>
      </c>
      <c r="N52" s="170">
        <f t="shared" si="18"/>
        <v>0</v>
      </c>
      <c r="O52" s="79">
        <f t="shared" si="18"/>
        <v>0</v>
      </c>
      <c r="P52" s="79">
        <f t="shared" si="18"/>
        <v>0</v>
      </c>
      <c r="Q52" s="79">
        <f t="shared" si="18"/>
        <v>0</v>
      </c>
      <c r="R52" s="79">
        <f t="shared" si="18"/>
        <v>0</v>
      </c>
      <c r="S52" s="79">
        <f t="shared" si="18"/>
        <v>0</v>
      </c>
    </row>
    <row r="53" spans="1:19" ht="51" hidden="1">
      <c r="A53" s="5"/>
      <c r="B53" s="66"/>
      <c r="C53" s="41" t="s">
        <v>2</v>
      </c>
      <c r="D53" s="67" t="s">
        <v>94</v>
      </c>
      <c r="E53" s="79"/>
      <c r="F53" s="93">
        <f>E53+SUM(G53:Q53)</f>
        <v>0</v>
      </c>
      <c r="G53" s="68"/>
      <c r="H53" s="68"/>
      <c r="I53" s="153"/>
      <c r="J53" s="69"/>
      <c r="K53" s="68"/>
      <c r="L53" s="70"/>
      <c r="M53" s="68"/>
      <c r="N53" s="168"/>
      <c r="O53" s="68"/>
      <c r="P53" s="68"/>
      <c r="Q53" s="68"/>
      <c r="R53" s="68"/>
      <c r="S53" s="68"/>
    </row>
    <row r="54" spans="1:19" ht="63.75" hidden="1">
      <c r="A54" s="5"/>
      <c r="B54" s="63" t="s">
        <v>488</v>
      </c>
      <c r="C54" s="41"/>
      <c r="D54" s="135" t="s">
        <v>490</v>
      </c>
      <c r="E54" s="95">
        <f>E55</f>
        <v>0</v>
      </c>
      <c r="F54" s="95">
        <f aca="true" t="shared" si="19" ref="F54:S55">F55</f>
        <v>207.3</v>
      </c>
      <c r="G54" s="95">
        <f t="shared" si="19"/>
        <v>0</v>
      </c>
      <c r="H54" s="95">
        <f t="shared" si="19"/>
        <v>0</v>
      </c>
      <c r="I54" s="131">
        <f t="shared" si="19"/>
        <v>207.3</v>
      </c>
      <c r="J54" s="95">
        <f t="shared" si="19"/>
        <v>0</v>
      </c>
      <c r="K54" s="95">
        <f t="shared" si="19"/>
        <v>0</v>
      </c>
      <c r="L54" s="95">
        <f t="shared" si="19"/>
        <v>0</v>
      </c>
      <c r="M54" s="95">
        <f t="shared" si="19"/>
        <v>0</v>
      </c>
      <c r="N54" s="169">
        <f t="shared" si="19"/>
        <v>0</v>
      </c>
      <c r="O54" s="95">
        <f t="shared" si="19"/>
        <v>0</v>
      </c>
      <c r="P54" s="95">
        <f t="shared" si="19"/>
        <v>0</v>
      </c>
      <c r="Q54" s="95">
        <f t="shared" si="19"/>
        <v>0</v>
      </c>
      <c r="R54" s="95">
        <f t="shared" si="19"/>
        <v>0</v>
      </c>
      <c r="S54" s="95">
        <f t="shared" si="19"/>
        <v>0</v>
      </c>
    </row>
    <row r="55" spans="1:19" ht="51" hidden="1">
      <c r="A55" s="5"/>
      <c r="B55" s="66" t="s">
        <v>489</v>
      </c>
      <c r="C55" s="41"/>
      <c r="D55" s="134" t="s">
        <v>491</v>
      </c>
      <c r="E55" s="79">
        <f>E56</f>
        <v>0</v>
      </c>
      <c r="F55" s="79">
        <f t="shared" si="19"/>
        <v>207.3</v>
      </c>
      <c r="G55" s="79">
        <f t="shared" si="19"/>
        <v>0</v>
      </c>
      <c r="H55" s="79">
        <f t="shared" si="19"/>
        <v>0</v>
      </c>
      <c r="I55" s="96">
        <f t="shared" si="19"/>
        <v>207.3</v>
      </c>
      <c r="J55" s="79">
        <f t="shared" si="19"/>
        <v>0</v>
      </c>
      <c r="K55" s="79">
        <f t="shared" si="19"/>
        <v>0</v>
      </c>
      <c r="L55" s="79">
        <f t="shared" si="19"/>
        <v>0</v>
      </c>
      <c r="M55" s="79">
        <f t="shared" si="19"/>
        <v>0</v>
      </c>
      <c r="N55" s="170">
        <f t="shared" si="19"/>
        <v>0</v>
      </c>
      <c r="O55" s="79">
        <f t="shared" si="19"/>
        <v>0</v>
      </c>
      <c r="P55" s="79">
        <f t="shared" si="19"/>
        <v>0</v>
      </c>
      <c r="Q55" s="79">
        <f t="shared" si="19"/>
        <v>0</v>
      </c>
      <c r="R55" s="79">
        <f t="shared" si="19"/>
        <v>0</v>
      </c>
      <c r="S55" s="79">
        <f t="shared" si="19"/>
        <v>0</v>
      </c>
    </row>
    <row r="56" spans="1:19" ht="12.75" hidden="1">
      <c r="A56" s="5"/>
      <c r="B56" s="66"/>
      <c r="C56" s="41" t="s">
        <v>9</v>
      </c>
      <c r="D56" s="67" t="s">
        <v>37</v>
      </c>
      <c r="E56" s="79"/>
      <c r="F56" s="93">
        <f>E56+SUM(G56:Q56)</f>
        <v>207.3</v>
      </c>
      <c r="G56" s="68"/>
      <c r="H56" s="68"/>
      <c r="I56" s="153">
        <v>207.3</v>
      </c>
      <c r="J56" s="69"/>
      <c r="K56" s="68"/>
      <c r="L56" s="70"/>
      <c r="M56" s="68"/>
      <c r="N56" s="168"/>
      <c r="O56" s="68"/>
      <c r="P56" s="68"/>
      <c r="Q56" s="68"/>
      <c r="R56" s="68"/>
      <c r="S56" s="68"/>
    </row>
    <row r="57" spans="1:19" ht="76.5" hidden="1">
      <c r="A57" s="5"/>
      <c r="B57" s="63" t="s">
        <v>527</v>
      </c>
      <c r="C57" s="41"/>
      <c r="D57" s="135" t="s">
        <v>526</v>
      </c>
      <c r="E57" s="95">
        <f>E58</f>
        <v>0</v>
      </c>
      <c r="F57" s="95">
        <f aca="true" t="shared" si="20" ref="F57:I58">F58</f>
        <v>20</v>
      </c>
      <c r="G57" s="95">
        <f t="shared" si="20"/>
        <v>0</v>
      </c>
      <c r="H57" s="95">
        <f t="shared" si="20"/>
        <v>0</v>
      </c>
      <c r="I57" s="131">
        <f t="shared" si="20"/>
        <v>20</v>
      </c>
      <c r="J57" s="69"/>
      <c r="K57" s="68"/>
      <c r="L57" s="70"/>
      <c r="M57" s="68"/>
      <c r="N57" s="168"/>
      <c r="O57" s="68"/>
      <c r="P57" s="68"/>
      <c r="Q57" s="68"/>
      <c r="R57" s="68"/>
      <c r="S57" s="68"/>
    </row>
    <row r="58" spans="1:19" ht="76.5" hidden="1">
      <c r="A58" s="5"/>
      <c r="B58" s="66" t="s">
        <v>528</v>
      </c>
      <c r="C58" s="41"/>
      <c r="D58" s="134" t="s">
        <v>526</v>
      </c>
      <c r="E58" s="79">
        <f>E59</f>
        <v>0</v>
      </c>
      <c r="F58" s="79">
        <f t="shared" si="20"/>
        <v>20</v>
      </c>
      <c r="G58" s="79">
        <f t="shared" si="20"/>
        <v>0</v>
      </c>
      <c r="H58" s="79">
        <f t="shared" si="20"/>
        <v>0</v>
      </c>
      <c r="I58" s="96">
        <f t="shared" si="20"/>
        <v>20</v>
      </c>
      <c r="J58" s="69"/>
      <c r="K58" s="68"/>
      <c r="L58" s="70"/>
      <c r="M58" s="68"/>
      <c r="N58" s="168"/>
      <c r="O58" s="68"/>
      <c r="P58" s="68"/>
      <c r="Q58" s="68"/>
      <c r="R58" s="68"/>
      <c r="S58" s="68"/>
    </row>
    <row r="59" spans="1:19" ht="21.75" customHeight="1" hidden="1">
      <c r="A59" s="5"/>
      <c r="B59" s="66"/>
      <c r="C59" s="41" t="s">
        <v>9</v>
      </c>
      <c r="D59" s="67" t="s">
        <v>37</v>
      </c>
      <c r="E59" s="79"/>
      <c r="F59" s="93">
        <f>E59+SUM(G59:Q59)</f>
        <v>20</v>
      </c>
      <c r="G59" s="68"/>
      <c r="H59" s="68"/>
      <c r="I59" s="153">
        <v>20</v>
      </c>
      <c r="J59" s="69"/>
      <c r="K59" s="68"/>
      <c r="L59" s="70"/>
      <c r="M59" s="68"/>
      <c r="N59" s="168"/>
      <c r="O59" s="68"/>
      <c r="P59" s="68"/>
      <c r="Q59" s="68"/>
      <c r="R59" s="68"/>
      <c r="S59" s="68"/>
    </row>
    <row r="60" spans="1:19" s="24" customFormat="1" ht="36">
      <c r="A60" s="5" t="s">
        <v>55</v>
      </c>
      <c r="B60" s="16"/>
      <c r="C60" s="5"/>
      <c r="D60" s="20" t="s">
        <v>56</v>
      </c>
      <c r="E60" s="119">
        <f>E61</f>
        <v>3780.4</v>
      </c>
      <c r="F60" s="119">
        <f aca="true" t="shared" si="21" ref="F60:S61">F61</f>
        <v>4133.25</v>
      </c>
      <c r="G60" s="119">
        <f t="shared" si="21"/>
        <v>0</v>
      </c>
      <c r="H60" s="119">
        <f t="shared" si="21"/>
        <v>72.8</v>
      </c>
      <c r="I60" s="121">
        <f t="shared" si="21"/>
        <v>280.05</v>
      </c>
      <c r="J60" s="119">
        <f t="shared" si="21"/>
        <v>0</v>
      </c>
      <c r="K60" s="119">
        <f t="shared" si="21"/>
        <v>0</v>
      </c>
      <c r="L60" s="119">
        <f t="shared" si="21"/>
        <v>0</v>
      </c>
      <c r="M60" s="119">
        <f t="shared" si="21"/>
        <v>0</v>
      </c>
      <c r="N60" s="171">
        <f t="shared" si="21"/>
        <v>0</v>
      </c>
      <c r="O60" s="119">
        <f t="shared" si="21"/>
        <v>0</v>
      </c>
      <c r="P60" s="119">
        <f t="shared" si="21"/>
        <v>0</v>
      </c>
      <c r="Q60" s="119">
        <f t="shared" si="21"/>
        <v>0</v>
      </c>
      <c r="R60" s="119">
        <f t="shared" si="21"/>
        <v>73.3</v>
      </c>
      <c r="S60" s="119">
        <f t="shared" si="21"/>
        <v>0</v>
      </c>
    </row>
    <row r="61" spans="1:19" s="25" customFormat="1" ht="38.25">
      <c r="A61" s="17"/>
      <c r="B61" s="63" t="s">
        <v>164</v>
      </c>
      <c r="C61" s="41"/>
      <c r="D61" s="60" t="s">
        <v>108</v>
      </c>
      <c r="E61" s="94">
        <f>E62</f>
        <v>3780.4</v>
      </c>
      <c r="F61" s="94">
        <f t="shared" si="21"/>
        <v>4133.25</v>
      </c>
      <c r="G61" s="94">
        <f t="shared" si="21"/>
        <v>0</v>
      </c>
      <c r="H61" s="94">
        <f t="shared" si="21"/>
        <v>72.8</v>
      </c>
      <c r="I61" s="155">
        <f t="shared" si="21"/>
        <v>280.05</v>
      </c>
      <c r="J61" s="94">
        <f t="shared" si="21"/>
        <v>0</v>
      </c>
      <c r="K61" s="94">
        <f t="shared" si="21"/>
        <v>0</v>
      </c>
      <c r="L61" s="94">
        <f t="shared" si="21"/>
        <v>0</v>
      </c>
      <c r="M61" s="94">
        <f t="shared" si="21"/>
        <v>0</v>
      </c>
      <c r="N61" s="173">
        <f t="shared" si="21"/>
        <v>0</v>
      </c>
      <c r="O61" s="94">
        <f t="shared" si="21"/>
        <v>0</v>
      </c>
      <c r="P61" s="94">
        <f t="shared" si="21"/>
        <v>0</v>
      </c>
      <c r="Q61" s="94">
        <f t="shared" si="21"/>
        <v>0</v>
      </c>
      <c r="R61" s="94">
        <f t="shared" si="21"/>
        <v>73.3</v>
      </c>
      <c r="S61" s="94">
        <f t="shared" si="21"/>
        <v>0</v>
      </c>
    </row>
    <row r="62" spans="1:19" s="25" customFormat="1" ht="25.5">
      <c r="A62" s="17"/>
      <c r="B62" s="63" t="s">
        <v>161</v>
      </c>
      <c r="C62" s="11"/>
      <c r="D62" s="60" t="s">
        <v>109</v>
      </c>
      <c r="E62" s="94">
        <f>E63+E68</f>
        <v>3780.4</v>
      </c>
      <c r="F62" s="94">
        <f aca="true" t="shared" si="22" ref="F62:Q62">F63+F68</f>
        <v>4133.25</v>
      </c>
      <c r="G62" s="71">
        <f t="shared" si="22"/>
        <v>0</v>
      </c>
      <c r="H62" s="71">
        <f t="shared" si="22"/>
        <v>72.8</v>
      </c>
      <c r="I62" s="156">
        <f t="shared" si="22"/>
        <v>280.05</v>
      </c>
      <c r="J62" s="71">
        <f t="shared" si="22"/>
        <v>0</v>
      </c>
      <c r="K62" s="71">
        <f t="shared" si="22"/>
        <v>0</v>
      </c>
      <c r="L62" s="71">
        <f t="shared" si="22"/>
        <v>0</v>
      </c>
      <c r="M62" s="71">
        <f t="shared" si="22"/>
        <v>0</v>
      </c>
      <c r="N62" s="174">
        <f t="shared" si="22"/>
        <v>0</v>
      </c>
      <c r="O62" s="71">
        <f t="shared" si="22"/>
        <v>0</v>
      </c>
      <c r="P62" s="71">
        <f t="shared" si="22"/>
        <v>0</v>
      </c>
      <c r="Q62" s="71">
        <f t="shared" si="22"/>
        <v>0</v>
      </c>
      <c r="R62" s="71">
        <f>R63+R68</f>
        <v>73.3</v>
      </c>
      <c r="S62" s="71">
        <f>S63+S68</f>
        <v>0</v>
      </c>
    </row>
    <row r="63" spans="1:19" s="25" customFormat="1" ht="25.5">
      <c r="A63" s="17"/>
      <c r="B63" s="112" t="s">
        <v>162</v>
      </c>
      <c r="C63" s="99"/>
      <c r="D63" s="61" t="s">
        <v>165</v>
      </c>
      <c r="E63" s="93">
        <f aca="true" t="shared" si="23" ref="E63:J63">E64</f>
        <v>3487.2000000000003</v>
      </c>
      <c r="F63" s="93">
        <f t="shared" si="23"/>
        <v>3767.2500000000005</v>
      </c>
      <c r="G63" s="64">
        <f t="shared" si="23"/>
        <v>0</v>
      </c>
      <c r="H63" s="64">
        <f t="shared" si="23"/>
        <v>0</v>
      </c>
      <c r="I63" s="78">
        <f t="shared" si="23"/>
        <v>280.05</v>
      </c>
      <c r="J63" s="64">
        <f t="shared" si="23"/>
        <v>0</v>
      </c>
      <c r="K63" s="64">
        <f aca="true" t="shared" si="24" ref="K63:P63">K65+K66+K67</f>
        <v>0</v>
      </c>
      <c r="L63" s="64">
        <f t="shared" si="24"/>
        <v>0</v>
      </c>
      <c r="M63" s="64">
        <f t="shared" si="24"/>
        <v>0</v>
      </c>
      <c r="N63" s="172">
        <f t="shared" si="24"/>
        <v>0</v>
      </c>
      <c r="O63" s="64">
        <f t="shared" si="24"/>
        <v>0</v>
      </c>
      <c r="P63" s="64">
        <f t="shared" si="24"/>
        <v>0</v>
      </c>
      <c r="Q63" s="64">
        <f>Q65+Q66+Q67</f>
        <v>0</v>
      </c>
      <c r="R63" s="64">
        <f>R65+R66+R67</f>
        <v>29</v>
      </c>
      <c r="S63" s="64">
        <f>S65+S66+S67</f>
        <v>0</v>
      </c>
    </row>
    <row r="64" spans="1:19" s="25" customFormat="1" ht="25.5">
      <c r="A64" s="17"/>
      <c r="B64" s="62" t="s">
        <v>163</v>
      </c>
      <c r="C64" s="41"/>
      <c r="D64" s="57" t="s">
        <v>166</v>
      </c>
      <c r="E64" s="93">
        <f aca="true" t="shared" si="25" ref="E64:S64">E65+E66+E67</f>
        <v>3487.2000000000003</v>
      </c>
      <c r="F64" s="93">
        <f t="shared" si="25"/>
        <v>3767.2500000000005</v>
      </c>
      <c r="G64" s="64">
        <f t="shared" si="25"/>
        <v>0</v>
      </c>
      <c r="H64" s="64">
        <f t="shared" si="25"/>
        <v>0</v>
      </c>
      <c r="I64" s="78">
        <f t="shared" si="25"/>
        <v>280.05</v>
      </c>
      <c r="J64" s="78">
        <f t="shared" si="25"/>
        <v>0</v>
      </c>
      <c r="K64" s="78">
        <f t="shared" si="25"/>
        <v>0</v>
      </c>
      <c r="L64" s="78">
        <f t="shared" si="25"/>
        <v>0</v>
      </c>
      <c r="M64" s="78">
        <f t="shared" si="25"/>
        <v>0</v>
      </c>
      <c r="N64" s="78">
        <f t="shared" si="25"/>
        <v>0</v>
      </c>
      <c r="O64" s="78">
        <f t="shared" si="25"/>
        <v>0</v>
      </c>
      <c r="P64" s="78">
        <f t="shared" si="25"/>
        <v>0</v>
      </c>
      <c r="Q64" s="78">
        <f t="shared" si="25"/>
        <v>0</v>
      </c>
      <c r="R64" s="64">
        <f t="shared" si="25"/>
        <v>29</v>
      </c>
      <c r="S64" s="78">
        <f t="shared" si="25"/>
        <v>0</v>
      </c>
    </row>
    <row r="65" spans="1:19" s="25" customFormat="1" ht="51">
      <c r="A65" s="17"/>
      <c r="B65" s="66"/>
      <c r="C65" s="41" t="s">
        <v>2</v>
      </c>
      <c r="D65" s="67" t="s">
        <v>94</v>
      </c>
      <c r="E65" s="79">
        <f>3260</f>
        <v>3260</v>
      </c>
      <c r="F65" s="79">
        <f>E65+SUM(G65:Q65)</f>
        <v>3511.05</v>
      </c>
      <c r="G65" s="68"/>
      <c r="H65" s="68"/>
      <c r="I65" s="153">
        <f>280.05</f>
        <v>280.05</v>
      </c>
      <c r="J65" s="69"/>
      <c r="K65" s="68"/>
      <c r="L65" s="70"/>
      <c r="M65" s="68"/>
      <c r="N65" s="168"/>
      <c r="O65" s="68"/>
      <c r="P65" s="68">
        <v>-29</v>
      </c>
      <c r="Q65" s="68"/>
      <c r="R65" s="68">
        <v>29</v>
      </c>
      <c r="S65" s="68"/>
    </row>
    <row r="66" spans="1:19" s="25" customFormat="1" ht="25.5" hidden="1">
      <c r="A66" s="17"/>
      <c r="B66" s="66"/>
      <c r="C66" s="41" t="s">
        <v>3</v>
      </c>
      <c r="D66" s="67" t="s">
        <v>95</v>
      </c>
      <c r="E66" s="79">
        <f>226.8</f>
        <v>226.8</v>
      </c>
      <c r="F66" s="79">
        <f>E66+SUM(G66:Q66)</f>
        <v>255.8</v>
      </c>
      <c r="G66" s="68"/>
      <c r="H66" s="68"/>
      <c r="I66" s="153">
        <v>0</v>
      </c>
      <c r="J66" s="69"/>
      <c r="K66" s="68"/>
      <c r="L66" s="70"/>
      <c r="M66" s="68"/>
      <c r="N66" s="168"/>
      <c r="O66" s="68"/>
      <c r="P66" s="68">
        <v>29</v>
      </c>
      <c r="Q66" s="68"/>
      <c r="R66" s="68"/>
      <c r="S66" s="68"/>
    </row>
    <row r="67" spans="1:19" s="25" customFormat="1" ht="12.75" hidden="1">
      <c r="A67" s="17"/>
      <c r="B67" s="66"/>
      <c r="C67" s="41" t="s">
        <v>4</v>
      </c>
      <c r="D67" s="67" t="s">
        <v>5</v>
      </c>
      <c r="E67" s="79">
        <f>0.4</f>
        <v>0.4</v>
      </c>
      <c r="F67" s="79">
        <f>E67+SUM(G67:Q67)</f>
        <v>0.4</v>
      </c>
      <c r="G67" s="68"/>
      <c r="H67" s="68"/>
      <c r="I67" s="153"/>
      <c r="J67" s="69"/>
      <c r="K67" s="68"/>
      <c r="L67" s="70"/>
      <c r="M67" s="68"/>
      <c r="N67" s="168"/>
      <c r="O67" s="68"/>
      <c r="P67" s="68"/>
      <c r="Q67" s="68"/>
      <c r="R67" s="68"/>
      <c r="S67" s="68"/>
    </row>
    <row r="68" spans="1:19" s="25" customFormat="1" ht="51">
      <c r="A68" s="17"/>
      <c r="B68" s="82" t="s">
        <v>171</v>
      </c>
      <c r="C68" s="99"/>
      <c r="D68" s="103" t="s">
        <v>172</v>
      </c>
      <c r="E68" s="79">
        <f>E69</f>
        <v>293.2</v>
      </c>
      <c r="F68" s="79">
        <f aca="true" t="shared" si="26" ref="F68:S69">F69</f>
        <v>366</v>
      </c>
      <c r="G68" s="68">
        <f t="shared" si="26"/>
        <v>0</v>
      </c>
      <c r="H68" s="68">
        <f t="shared" si="26"/>
        <v>72.8</v>
      </c>
      <c r="I68" s="70">
        <f t="shared" si="26"/>
        <v>0</v>
      </c>
      <c r="J68" s="68">
        <f t="shared" si="26"/>
        <v>0</v>
      </c>
      <c r="K68" s="68">
        <f t="shared" si="26"/>
        <v>0</v>
      </c>
      <c r="L68" s="68">
        <f t="shared" si="26"/>
        <v>0</v>
      </c>
      <c r="M68" s="68">
        <f t="shared" si="26"/>
        <v>0</v>
      </c>
      <c r="N68" s="168">
        <f t="shared" si="26"/>
        <v>0</v>
      </c>
      <c r="O68" s="68">
        <f t="shared" si="26"/>
        <v>0</v>
      </c>
      <c r="P68" s="68">
        <f t="shared" si="26"/>
        <v>0</v>
      </c>
      <c r="Q68" s="68">
        <f t="shared" si="26"/>
        <v>0</v>
      </c>
      <c r="R68" s="68">
        <f t="shared" si="26"/>
        <v>44.3</v>
      </c>
      <c r="S68" s="68">
        <f t="shared" si="26"/>
        <v>0</v>
      </c>
    </row>
    <row r="69" spans="1:19" s="25" customFormat="1" ht="38.25">
      <c r="A69" s="17"/>
      <c r="B69" s="66" t="s">
        <v>500</v>
      </c>
      <c r="C69" s="41"/>
      <c r="D69" s="57" t="s">
        <v>501</v>
      </c>
      <c r="E69" s="93">
        <f>E70</f>
        <v>293.2</v>
      </c>
      <c r="F69" s="93">
        <f>F70</f>
        <v>366</v>
      </c>
      <c r="G69" s="64">
        <f>G70</f>
        <v>0</v>
      </c>
      <c r="H69" s="64">
        <f t="shared" si="26"/>
        <v>72.8</v>
      </c>
      <c r="I69" s="64">
        <f t="shared" si="26"/>
        <v>0</v>
      </c>
      <c r="J69" s="64">
        <f t="shared" si="26"/>
        <v>0</v>
      </c>
      <c r="K69" s="64">
        <f t="shared" si="26"/>
        <v>0</v>
      </c>
      <c r="L69" s="64">
        <f t="shared" si="26"/>
        <v>0</v>
      </c>
      <c r="M69" s="64">
        <f t="shared" si="26"/>
        <v>0</v>
      </c>
      <c r="N69" s="64">
        <f t="shared" si="26"/>
        <v>0</v>
      </c>
      <c r="O69" s="64">
        <f t="shared" si="26"/>
        <v>0</v>
      </c>
      <c r="P69" s="64">
        <f t="shared" si="26"/>
        <v>0</v>
      </c>
      <c r="Q69" s="64">
        <f t="shared" si="26"/>
        <v>0</v>
      </c>
      <c r="R69" s="64">
        <f t="shared" si="26"/>
        <v>44.3</v>
      </c>
      <c r="S69" s="64">
        <f t="shared" si="26"/>
        <v>0</v>
      </c>
    </row>
    <row r="70" spans="1:19" s="25" customFormat="1" ht="12.75">
      <c r="A70" s="17"/>
      <c r="B70" s="66"/>
      <c r="C70" s="41" t="s">
        <v>9</v>
      </c>
      <c r="D70" s="67" t="s">
        <v>37</v>
      </c>
      <c r="E70" s="93">
        <f>293.2</f>
        <v>293.2</v>
      </c>
      <c r="F70" s="93">
        <f>E70+SUM(G70:Q70)</f>
        <v>366</v>
      </c>
      <c r="G70" s="64"/>
      <c r="H70" s="64">
        <v>72.8</v>
      </c>
      <c r="I70" s="154"/>
      <c r="J70" s="65"/>
      <c r="K70" s="68"/>
      <c r="L70" s="70"/>
      <c r="M70" s="68"/>
      <c r="N70" s="168"/>
      <c r="O70" s="68"/>
      <c r="P70" s="68"/>
      <c r="Q70" s="68"/>
      <c r="R70" s="68">
        <v>44.3</v>
      </c>
      <c r="S70" s="68"/>
    </row>
    <row r="71" spans="1:19" s="25" customFormat="1" ht="12.75">
      <c r="A71" s="5" t="s">
        <v>554</v>
      </c>
      <c r="B71" s="63"/>
      <c r="C71" s="11"/>
      <c r="D71" s="113" t="s">
        <v>555</v>
      </c>
      <c r="E71" s="94">
        <f>E72</f>
        <v>0</v>
      </c>
      <c r="F71" s="94">
        <f aca="true" t="shared" si="27" ref="F71:S73">F72</f>
        <v>210.0858</v>
      </c>
      <c r="G71" s="94">
        <f t="shared" si="27"/>
        <v>0</v>
      </c>
      <c r="H71" s="94">
        <f t="shared" si="27"/>
        <v>0</v>
      </c>
      <c r="I71" s="94">
        <f t="shared" si="27"/>
        <v>0</v>
      </c>
      <c r="J71" s="94">
        <f t="shared" si="27"/>
        <v>0</v>
      </c>
      <c r="K71" s="94">
        <f t="shared" si="27"/>
        <v>0</v>
      </c>
      <c r="L71" s="94">
        <f t="shared" si="27"/>
        <v>0</v>
      </c>
      <c r="M71" s="94">
        <f t="shared" si="27"/>
        <v>0</v>
      </c>
      <c r="N71" s="173">
        <f t="shared" si="27"/>
        <v>210.0858</v>
      </c>
      <c r="O71" s="94">
        <f t="shared" si="27"/>
        <v>0</v>
      </c>
      <c r="P71" s="94">
        <f t="shared" si="27"/>
        <v>0</v>
      </c>
      <c r="Q71" s="94">
        <f t="shared" si="27"/>
        <v>0</v>
      </c>
      <c r="R71" s="94">
        <f t="shared" si="27"/>
        <v>-69.5</v>
      </c>
      <c r="S71" s="94">
        <f t="shared" si="27"/>
        <v>0</v>
      </c>
    </row>
    <row r="72" spans="1:19" s="25" customFormat="1" ht="15.75" customHeight="1">
      <c r="A72" s="17"/>
      <c r="B72" s="63" t="s">
        <v>550</v>
      </c>
      <c r="C72" s="11"/>
      <c r="D72" s="135" t="s">
        <v>552</v>
      </c>
      <c r="E72" s="94">
        <f>E73</f>
        <v>0</v>
      </c>
      <c r="F72" s="94">
        <f t="shared" si="27"/>
        <v>210.0858</v>
      </c>
      <c r="G72" s="94">
        <f t="shared" si="27"/>
        <v>0</v>
      </c>
      <c r="H72" s="94">
        <f t="shared" si="27"/>
        <v>0</v>
      </c>
      <c r="I72" s="94">
        <f t="shared" si="27"/>
        <v>0</v>
      </c>
      <c r="J72" s="94">
        <f t="shared" si="27"/>
        <v>0</v>
      </c>
      <c r="K72" s="94">
        <f t="shared" si="27"/>
        <v>0</v>
      </c>
      <c r="L72" s="94">
        <f t="shared" si="27"/>
        <v>0</v>
      </c>
      <c r="M72" s="94">
        <f t="shared" si="27"/>
        <v>0</v>
      </c>
      <c r="N72" s="173">
        <f t="shared" si="27"/>
        <v>210.0858</v>
      </c>
      <c r="O72" s="94">
        <f t="shared" si="27"/>
        <v>0</v>
      </c>
      <c r="P72" s="94">
        <f t="shared" si="27"/>
        <v>0</v>
      </c>
      <c r="Q72" s="94">
        <f t="shared" si="27"/>
        <v>0</v>
      </c>
      <c r="R72" s="94">
        <f t="shared" si="27"/>
        <v>-69.5</v>
      </c>
      <c r="S72" s="94">
        <f t="shared" si="27"/>
        <v>0</v>
      </c>
    </row>
    <row r="73" spans="1:19" s="25" customFormat="1" ht="18" customHeight="1">
      <c r="A73" s="17"/>
      <c r="B73" s="66" t="s">
        <v>551</v>
      </c>
      <c r="C73" s="41"/>
      <c r="D73" s="134" t="s">
        <v>553</v>
      </c>
      <c r="E73" s="93">
        <f>E74</f>
        <v>0</v>
      </c>
      <c r="F73" s="93">
        <f t="shared" si="27"/>
        <v>210.0858</v>
      </c>
      <c r="G73" s="93">
        <f t="shared" si="27"/>
        <v>0</v>
      </c>
      <c r="H73" s="93">
        <f t="shared" si="27"/>
        <v>0</v>
      </c>
      <c r="I73" s="93">
        <f t="shared" si="27"/>
        <v>0</v>
      </c>
      <c r="J73" s="93">
        <f t="shared" si="27"/>
        <v>0</v>
      </c>
      <c r="K73" s="93">
        <f t="shared" si="27"/>
        <v>0</v>
      </c>
      <c r="L73" s="93">
        <f t="shared" si="27"/>
        <v>0</v>
      </c>
      <c r="M73" s="93">
        <f t="shared" si="27"/>
        <v>0</v>
      </c>
      <c r="N73" s="175">
        <f t="shared" si="27"/>
        <v>210.0858</v>
      </c>
      <c r="O73" s="93">
        <f t="shared" si="27"/>
        <v>0</v>
      </c>
      <c r="P73" s="93">
        <f t="shared" si="27"/>
        <v>0</v>
      </c>
      <c r="Q73" s="93">
        <f t="shared" si="27"/>
        <v>0</v>
      </c>
      <c r="R73" s="93">
        <f t="shared" si="27"/>
        <v>-69.5</v>
      </c>
      <c r="S73" s="93">
        <f t="shared" si="27"/>
        <v>0</v>
      </c>
    </row>
    <row r="74" spans="1:19" s="25" customFormat="1" ht="30" customHeight="1">
      <c r="A74" s="17"/>
      <c r="B74" s="66"/>
      <c r="C74" s="41" t="s">
        <v>3</v>
      </c>
      <c r="D74" s="67" t="s">
        <v>95</v>
      </c>
      <c r="E74" s="93"/>
      <c r="F74" s="93">
        <f>E74+SUM(G74:Q74)</f>
        <v>210.0858</v>
      </c>
      <c r="G74" s="64"/>
      <c r="H74" s="64"/>
      <c r="I74" s="154"/>
      <c r="J74" s="65"/>
      <c r="K74" s="68"/>
      <c r="L74" s="70"/>
      <c r="M74" s="68"/>
      <c r="N74" s="168">
        <v>210.0858</v>
      </c>
      <c r="O74" s="68"/>
      <c r="P74" s="68"/>
      <c r="Q74" s="68"/>
      <c r="R74" s="68">
        <v>-69.5</v>
      </c>
      <c r="S74" s="68"/>
    </row>
    <row r="75" spans="1:19" s="24" customFormat="1" ht="12" hidden="1">
      <c r="A75" s="5" t="s">
        <v>38</v>
      </c>
      <c r="B75" s="16"/>
      <c r="C75" s="5"/>
      <c r="D75" s="20" t="s">
        <v>57</v>
      </c>
      <c r="E75" s="119">
        <f>E76</f>
        <v>500</v>
      </c>
      <c r="F75" s="119">
        <f aca="true" t="shared" si="28" ref="F75:S79">F76</f>
        <v>500</v>
      </c>
      <c r="G75" s="119">
        <f t="shared" si="28"/>
        <v>0</v>
      </c>
      <c r="H75" s="119">
        <f t="shared" si="28"/>
        <v>0</v>
      </c>
      <c r="I75" s="121">
        <f t="shared" si="28"/>
        <v>0</v>
      </c>
      <c r="J75" s="119">
        <f t="shared" si="28"/>
        <v>0</v>
      </c>
      <c r="K75" s="119">
        <f t="shared" si="28"/>
        <v>0</v>
      </c>
      <c r="L75" s="119">
        <f t="shared" si="28"/>
        <v>0</v>
      </c>
      <c r="M75" s="119">
        <f t="shared" si="28"/>
        <v>0</v>
      </c>
      <c r="N75" s="171">
        <f t="shared" si="28"/>
        <v>0</v>
      </c>
      <c r="O75" s="119">
        <f t="shared" si="28"/>
        <v>0</v>
      </c>
      <c r="P75" s="119">
        <f t="shared" si="28"/>
        <v>0</v>
      </c>
      <c r="Q75" s="119">
        <f t="shared" si="28"/>
        <v>0</v>
      </c>
      <c r="R75" s="119">
        <f t="shared" si="28"/>
        <v>0</v>
      </c>
      <c r="S75" s="119">
        <f t="shared" si="28"/>
        <v>0</v>
      </c>
    </row>
    <row r="76" spans="1:19" s="25" customFormat="1" ht="38.25" hidden="1">
      <c r="A76" s="17"/>
      <c r="B76" s="63" t="s">
        <v>164</v>
      </c>
      <c r="C76" s="41"/>
      <c r="D76" s="60" t="s">
        <v>108</v>
      </c>
      <c r="E76" s="94">
        <f>E77</f>
        <v>500</v>
      </c>
      <c r="F76" s="94">
        <f t="shared" si="28"/>
        <v>500</v>
      </c>
      <c r="G76" s="94">
        <f t="shared" si="28"/>
        <v>0</v>
      </c>
      <c r="H76" s="94">
        <f t="shared" si="28"/>
        <v>0</v>
      </c>
      <c r="I76" s="155">
        <f t="shared" si="28"/>
        <v>0</v>
      </c>
      <c r="J76" s="94">
        <f t="shared" si="28"/>
        <v>0</v>
      </c>
      <c r="K76" s="94">
        <f t="shared" si="28"/>
        <v>0</v>
      </c>
      <c r="L76" s="94">
        <f t="shared" si="28"/>
        <v>0</v>
      </c>
      <c r="M76" s="94">
        <f t="shared" si="28"/>
        <v>0</v>
      </c>
      <c r="N76" s="173">
        <f t="shared" si="28"/>
        <v>0</v>
      </c>
      <c r="O76" s="94">
        <f t="shared" si="28"/>
        <v>0</v>
      </c>
      <c r="P76" s="94">
        <f t="shared" si="28"/>
        <v>0</v>
      </c>
      <c r="Q76" s="94">
        <f t="shared" si="28"/>
        <v>0</v>
      </c>
      <c r="R76" s="94">
        <f t="shared" si="28"/>
        <v>0</v>
      </c>
      <c r="S76" s="94">
        <f t="shared" si="28"/>
        <v>0</v>
      </c>
    </row>
    <row r="77" spans="1:19" s="25" customFormat="1" ht="25.5" hidden="1">
      <c r="A77" s="17"/>
      <c r="B77" s="63" t="s">
        <v>161</v>
      </c>
      <c r="C77" s="11"/>
      <c r="D77" s="60" t="s">
        <v>109</v>
      </c>
      <c r="E77" s="94">
        <f>E78</f>
        <v>500</v>
      </c>
      <c r="F77" s="94">
        <f t="shared" si="28"/>
        <v>500</v>
      </c>
      <c r="G77" s="94">
        <f t="shared" si="28"/>
        <v>0</v>
      </c>
      <c r="H77" s="94">
        <f t="shared" si="28"/>
        <v>0</v>
      </c>
      <c r="I77" s="155">
        <f t="shared" si="28"/>
        <v>0</v>
      </c>
      <c r="J77" s="94">
        <f t="shared" si="28"/>
        <v>0</v>
      </c>
      <c r="K77" s="94">
        <f t="shared" si="28"/>
        <v>0</v>
      </c>
      <c r="L77" s="94">
        <f t="shared" si="28"/>
        <v>0</v>
      </c>
      <c r="M77" s="94">
        <f t="shared" si="28"/>
        <v>0</v>
      </c>
      <c r="N77" s="173">
        <f t="shared" si="28"/>
        <v>0</v>
      </c>
      <c r="O77" s="94">
        <f t="shared" si="28"/>
        <v>0</v>
      </c>
      <c r="P77" s="94">
        <f t="shared" si="28"/>
        <v>0</v>
      </c>
      <c r="Q77" s="94">
        <f t="shared" si="28"/>
        <v>0</v>
      </c>
      <c r="R77" s="94">
        <f t="shared" si="28"/>
        <v>0</v>
      </c>
      <c r="S77" s="94">
        <f t="shared" si="28"/>
        <v>0</v>
      </c>
    </row>
    <row r="78" spans="1:19" s="25" customFormat="1" ht="38.25" hidden="1">
      <c r="A78" s="17"/>
      <c r="B78" s="82" t="s">
        <v>167</v>
      </c>
      <c r="C78" s="99"/>
      <c r="D78" s="103" t="s">
        <v>169</v>
      </c>
      <c r="E78" s="79">
        <f>E79</f>
        <v>500</v>
      </c>
      <c r="F78" s="79">
        <f t="shared" si="28"/>
        <v>500</v>
      </c>
      <c r="G78" s="79">
        <f t="shared" si="28"/>
        <v>0</v>
      </c>
      <c r="H78" s="79">
        <f t="shared" si="28"/>
        <v>0</v>
      </c>
      <c r="I78" s="96">
        <f t="shared" si="28"/>
        <v>0</v>
      </c>
      <c r="J78" s="79">
        <f t="shared" si="28"/>
        <v>0</v>
      </c>
      <c r="K78" s="79">
        <f t="shared" si="28"/>
        <v>0</v>
      </c>
      <c r="L78" s="79">
        <f t="shared" si="28"/>
        <v>0</v>
      </c>
      <c r="M78" s="79">
        <f t="shared" si="28"/>
        <v>0</v>
      </c>
      <c r="N78" s="170">
        <f t="shared" si="28"/>
        <v>0</v>
      </c>
      <c r="O78" s="79">
        <f t="shared" si="28"/>
        <v>0</v>
      </c>
      <c r="P78" s="79">
        <f t="shared" si="28"/>
        <v>0</v>
      </c>
      <c r="Q78" s="79">
        <f t="shared" si="28"/>
        <v>0</v>
      </c>
      <c r="R78" s="79">
        <f t="shared" si="28"/>
        <v>0</v>
      </c>
      <c r="S78" s="79">
        <f t="shared" si="28"/>
        <v>0</v>
      </c>
    </row>
    <row r="79" spans="1:19" s="25" customFormat="1" ht="51" hidden="1">
      <c r="A79" s="17"/>
      <c r="B79" s="66" t="s">
        <v>168</v>
      </c>
      <c r="C79" s="41"/>
      <c r="D79" s="57" t="s">
        <v>170</v>
      </c>
      <c r="E79" s="93">
        <f>E80</f>
        <v>500</v>
      </c>
      <c r="F79" s="93">
        <f t="shared" si="28"/>
        <v>500</v>
      </c>
      <c r="G79" s="93">
        <f t="shared" si="28"/>
        <v>0</v>
      </c>
      <c r="H79" s="93">
        <f t="shared" si="28"/>
        <v>0</v>
      </c>
      <c r="I79" s="133">
        <f t="shared" si="28"/>
        <v>0</v>
      </c>
      <c r="J79" s="93">
        <f t="shared" si="28"/>
        <v>0</v>
      </c>
      <c r="K79" s="93">
        <f t="shared" si="28"/>
        <v>0</v>
      </c>
      <c r="L79" s="93">
        <f t="shared" si="28"/>
        <v>0</v>
      </c>
      <c r="M79" s="93">
        <f t="shared" si="28"/>
        <v>0</v>
      </c>
      <c r="N79" s="175">
        <f t="shared" si="28"/>
        <v>0</v>
      </c>
      <c r="O79" s="93">
        <f t="shared" si="28"/>
        <v>0</v>
      </c>
      <c r="P79" s="93">
        <f t="shared" si="28"/>
        <v>0</v>
      </c>
      <c r="Q79" s="93">
        <f t="shared" si="28"/>
        <v>0</v>
      </c>
      <c r="R79" s="93">
        <f t="shared" si="28"/>
        <v>0</v>
      </c>
      <c r="S79" s="93">
        <f t="shared" si="28"/>
        <v>0</v>
      </c>
    </row>
    <row r="80" spans="1:19" s="25" customFormat="1" ht="12.75" hidden="1">
      <c r="A80" s="17"/>
      <c r="B80" s="66"/>
      <c r="C80" s="41" t="s">
        <v>4</v>
      </c>
      <c r="D80" s="67" t="s">
        <v>5</v>
      </c>
      <c r="E80" s="93">
        <f>500</f>
        <v>500</v>
      </c>
      <c r="F80" s="93">
        <f>E80+SUM(G80:Q80)</f>
        <v>500</v>
      </c>
      <c r="G80" s="64"/>
      <c r="H80" s="64"/>
      <c r="I80" s="157"/>
      <c r="J80" s="58"/>
      <c r="K80" s="64"/>
      <c r="L80" s="64"/>
      <c r="M80" s="64"/>
      <c r="N80" s="172"/>
      <c r="O80" s="64"/>
      <c r="P80" s="64"/>
      <c r="Q80" s="64"/>
      <c r="R80" s="64"/>
      <c r="S80" s="64"/>
    </row>
    <row r="81" spans="1:19" s="55" customFormat="1" ht="12">
      <c r="A81" s="5" t="s">
        <v>84</v>
      </c>
      <c r="B81" s="5"/>
      <c r="C81" s="5"/>
      <c r="D81" s="13" t="s">
        <v>39</v>
      </c>
      <c r="E81" s="119">
        <f aca="true" t="shared" si="29" ref="E81:Q81">E88+E107+E115+E82</f>
        <v>15484.5</v>
      </c>
      <c r="F81" s="119">
        <f t="shared" si="29"/>
        <v>23551.368000000002</v>
      </c>
      <c r="G81" s="119">
        <f t="shared" si="29"/>
        <v>17.64</v>
      </c>
      <c r="H81" s="119">
        <f t="shared" si="29"/>
        <v>1216.888</v>
      </c>
      <c r="I81" s="121">
        <f t="shared" si="29"/>
        <v>8054.54</v>
      </c>
      <c r="J81" s="119">
        <f t="shared" si="29"/>
        <v>0</v>
      </c>
      <c r="K81" s="119">
        <f t="shared" si="29"/>
        <v>44.599999999999994</v>
      </c>
      <c r="L81" s="119">
        <f t="shared" si="29"/>
        <v>77.24900000000001</v>
      </c>
      <c r="M81" s="119">
        <f t="shared" si="29"/>
        <v>72.115</v>
      </c>
      <c r="N81" s="171">
        <f t="shared" si="29"/>
        <v>84.836</v>
      </c>
      <c r="O81" s="119">
        <f t="shared" si="29"/>
        <v>-1024</v>
      </c>
      <c r="P81" s="119">
        <f t="shared" si="29"/>
        <v>-177</v>
      </c>
      <c r="Q81" s="119">
        <f t="shared" si="29"/>
        <v>-300</v>
      </c>
      <c r="R81" s="119">
        <f>R88+R107+R115+R82</f>
        <v>-15.199999999999989</v>
      </c>
      <c r="S81" s="119">
        <f>S88+S107+S115+S82</f>
        <v>0</v>
      </c>
    </row>
    <row r="82" spans="1:19" s="25" customFormat="1" ht="51">
      <c r="A82" s="17"/>
      <c r="B82" s="63" t="s">
        <v>174</v>
      </c>
      <c r="C82" s="11"/>
      <c r="D82" s="60" t="s">
        <v>110</v>
      </c>
      <c r="E82" s="95">
        <f aca="true" t="shared" si="30" ref="E82:S84">E83</f>
        <v>9722.7</v>
      </c>
      <c r="F82" s="95">
        <f t="shared" si="30"/>
        <v>8416.660000000002</v>
      </c>
      <c r="G82" s="73">
        <f t="shared" si="30"/>
        <v>0</v>
      </c>
      <c r="H82" s="73">
        <f t="shared" si="30"/>
        <v>0</v>
      </c>
      <c r="I82" s="77">
        <f t="shared" si="30"/>
        <v>131.4</v>
      </c>
      <c r="J82" s="73">
        <f t="shared" si="30"/>
        <v>0</v>
      </c>
      <c r="K82" s="73">
        <f t="shared" si="30"/>
        <v>10.8</v>
      </c>
      <c r="L82" s="73">
        <f t="shared" si="30"/>
        <v>68.26</v>
      </c>
      <c r="M82" s="73">
        <f t="shared" si="30"/>
        <v>0</v>
      </c>
      <c r="N82" s="123">
        <f t="shared" si="30"/>
        <v>10.8</v>
      </c>
      <c r="O82" s="73">
        <f t="shared" si="30"/>
        <v>-1000</v>
      </c>
      <c r="P82" s="73">
        <f t="shared" si="30"/>
        <v>-227.3</v>
      </c>
      <c r="Q82" s="73">
        <f t="shared" si="30"/>
        <v>-300</v>
      </c>
      <c r="R82" s="73">
        <f t="shared" si="30"/>
        <v>-15.199999999999989</v>
      </c>
      <c r="S82" s="73">
        <f t="shared" si="30"/>
        <v>0</v>
      </c>
    </row>
    <row r="83" spans="1:19" s="25" customFormat="1" ht="25.5">
      <c r="A83" s="17"/>
      <c r="B83" s="82" t="s">
        <v>175</v>
      </c>
      <c r="C83" s="41"/>
      <c r="D83" s="61" t="s">
        <v>111</v>
      </c>
      <c r="E83" s="79">
        <f t="shared" si="30"/>
        <v>9722.7</v>
      </c>
      <c r="F83" s="79">
        <f t="shared" si="30"/>
        <v>8416.660000000002</v>
      </c>
      <c r="G83" s="68">
        <f t="shared" si="30"/>
        <v>0</v>
      </c>
      <c r="H83" s="68">
        <f t="shared" si="30"/>
        <v>0</v>
      </c>
      <c r="I83" s="70">
        <f t="shared" si="30"/>
        <v>131.4</v>
      </c>
      <c r="J83" s="68">
        <f t="shared" si="30"/>
        <v>0</v>
      </c>
      <c r="K83" s="68">
        <f t="shared" si="30"/>
        <v>10.8</v>
      </c>
      <c r="L83" s="68">
        <f t="shared" si="30"/>
        <v>68.26</v>
      </c>
      <c r="M83" s="68">
        <f t="shared" si="30"/>
        <v>0</v>
      </c>
      <c r="N83" s="168">
        <f t="shared" si="30"/>
        <v>10.8</v>
      </c>
      <c r="O83" s="68">
        <f t="shared" si="30"/>
        <v>-1000</v>
      </c>
      <c r="P83" s="68">
        <f t="shared" si="30"/>
        <v>-227.3</v>
      </c>
      <c r="Q83" s="68">
        <f t="shared" si="30"/>
        <v>-300</v>
      </c>
      <c r="R83" s="68">
        <f t="shared" si="30"/>
        <v>-15.199999999999989</v>
      </c>
      <c r="S83" s="68">
        <f t="shared" si="30"/>
        <v>0</v>
      </c>
    </row>
    <row r="84" spans="1:19" s="25" customFormat="1" ht="25.5">
      <c r="A84" s="17"/>
      <c r="B84" s="66" t="s">
        <v>176</v>
      </c>
      <c r="C84" s="41"/>
      <c r="D84" s="57" t="s">
        <v>178</v>
      </c>
      <c r="E84" s="79">
        <f t="shared" si="30"/>
        <v>9722.7</v>
      </c>
      <c r="F84" s="79">
        <f t="shared" si="30"/>
        <v>8416.660000000002</v>
      </c>
      <c r="G84" s="68">
        <f t="shared" si="30"/>
        <v>0</v>
      </c>
      <c r="H84" s="68">
        <f t="shared" si="30"/>
        <v>0</v>
      </c>
      <c r="I84" s="70">
        <f t="shared" si="30"/>
        <v>131.4</v>
      </c>
      <c r="J84" s="68">
        <f t="shared" si="30"/>
        <v>0</v>
      </c>
      <c r="K84" s="68">
        <f t="shared" si="30"/>
        <v>10.8</v>
      </c>
      <c r="L84" s="68">
        <f t="shared" si="30"/>
        <v>68.26</v>
      </c>
      <c r="M84" s="68">
        <f t="shared" si="30"/>
        <v>0</v>
      </c>
      <c r="N84" s="168">
        <f t="shared" si="30"/>
        <v>10.8</v>
      </c>
      <c r="O84" s="68">
        <f t="shared" si="30"/>
        <v>-1000</v>
      </c>
      <c r="P84" s="68">
        <f t="shared" si="30"/>
        <v>-227.3</v>
      </c>
      <c r="Q84" s="68">
        <f t="shared" si="30"/>
        <v>-300</v>
      </c>
      <c r="R84" s="68">
        <f t="shared" si="30"/>
        <v>-15.199999999999989</v>
      </c>
      <c r="S84" s="68">
        <f t="shared" si="30"/>
        <v>0</v>
      </c>
    </row>
    <row r="85" spans="1:19" s="25" customFormat="1" ht="25.5">
      <c r="A85" s="17"/>
      <c r="B85" s="66" t="s">
        <v>177</v>
      </c>
      <c r="C85" s="41"/>
      <c r="D85" s="57" t="s">
        <v>179</v>
      </c>
      <c r="E85" s="79">
        <f>E86+E87</f>
        <v>9722.7</v>
      </c>
      <c r="F85" s="79">
        <f aca="true" t="shared" si="31" ref="F85:Q85">F86+F87</f>
        <v>8416.660000000002</v>
      </c>
      <c r="G85" s="68">
        <f t="shared" si="31"/>
        <v>0</v>
      </c>
      <c r="H85" s="68">
        <f t="shared" si="31"/>
        <v>0</v>
      </c>
      <c r="I85" s="70">
        <f t="shared" si="31"/>
        <v>131.4</v>
      </c>
      <c r="J85" s="68">
        <f t="shared" si="31"/>
        <v>0</v>
      </c>
      <c r="K85" s="68">
        <f t="shared" si="31"/>
        <v>10.8</v>
      </c>
      <c r="L85" s="68">
        <f t="shared" si="31"/>
        <v>68.26</v>
      </c>
      <c r="M85" s="68">
        <f t="shared" si="31"/>
        <v>0</v>
      </c>
      <c r="N85" s="168">
        <f t="shared" si="31"/>
        <v>10.8</v>
      </c>
      <c r="O85" s="68">
        <f t="shared" si="31"/>
        <v>-1000</v>
      </c>
      <c r="P85" s="68">
        <f t="shared" si="31"/>
        <v>-227.3</v>
      </c>
      <c r="Q85" s="68">
        <f t="shared" si="31"/>
        <v>-300</v>
      </c>
      <c r="R85" s="68">
        <f>R86+R87</f>
        <v>-15.199999999999989</v>
      </c>
      <c r="S85" s="68">
        <f>S86+S87</f>
        <v>0</v>
      </c>
    </row>
    <row r="86" spans="1:19" s="25" customFormat="1" ht="25.5">
      <c r="A86" s="17"/>
      <c r="B86" s="66"/>
      <c r="C86" s="41" t="s">
        <v>3</v>
      </c>
      <c r="D86" s="67" t="s">
        <v>95</v>
      </c>
      <c r="E86" s="79">
        <f>8222.7</f>
        <v>8222.7</v>
      </c>
      <c r="F86" s="93">
        <f>E86+SUM(G86:Q86)</f>
        <v>8043.960000000001</v>
      </c>
      <c r="G86" s="93"/>
      <c r="H86" s="68"/>
      <c r="I86" s="153">
        <f>99+32.4</f>
        <v>131.4</v>
      </c>
      <c r="J86" s="69"/>
      <c r="K86" s="68">
        <v>10.8</v>
      </c>
      <c r="L86" s="96">
        <f>68.26</f>
        <v>68.26</v>
      </c>
      <c r="M86" s="68"/>
      <c r="N86" s="168">
        <v>10.8</v>
      </c>
      <c r="O86" s="68">
        <f>-100</f>
        <v>-100</v>
      </c>
      <c r="P86" s="70"/>
      <c r="Q86" s="70">
        <v>-300</v>
      </c>
      <c r="R86" s="68">
        <v>-160</v>
      </c>
      <c r="S86" s="70"/>
    </row>
    <row r="87" spans="1:19" s="25" customFormat="1" ht="12.75">
      <c r="A87" s="17"/>
      <c r="B87" s="66"/>
      <c r="C87" s="41" t="s">
        <v>4</v>
      </c>
      <c r="D87" s="67" t="s">
        <v>5</v>
      </c>
      <c r="E87" s="79">
        <f>1500</f>
        <v>1500</v>
      </c>
      <c r="F87" s="93">
        <f>E87+SUM(G87:Q87)</f>
        <v>372.70000000000005</v>
      </c>
      <c r="G87" s="74"/>
      <c r="H87" s="68"/>
      <c r="I87" s="153"/>
      <c r="J87" s="69"/>
      <c r="K87" s="68"/>
      <c r="L87" s="70"/>
      <c r="M87" s="68"/>
      <c r="N87" s="168"/>
      <c r="O87" s="68">
        <f>-900</f>
        <v>-900</v>
      </c>
      <c r="P87" s="68">
        <f>-95.3-132</f>
        <v>-227.3</v>
      </c>
      <c r="Q87" s="68"/>
      <c r="R87" s="68">
        <v>144.8</v>
      </c>
      <c r="S87" s="68"/>
    </row>
    <row r="88" spans="1:19" s="55" customFormat="1" ht="51" hidden="1">
      <c r="A88" s="5"/>
      <c r="B88" s="63" t="s">
        <v>241</v>
      </c>
      <c r="C88" s="11"/>
      <c r="D88" s="60" t="s">
        <v>118</v>
      </c>
      <c r="E88" s="95">
        <f>E89+E92+E96+E100</f>
        <v>767</v>
      </c>
      <c r="F88" s="95">
        <f aca="true" t="shared" si="32" ref="F88:Q88">F89+F92+F96+F100</f>
        <v>767</v>
      </c>
      <c r="G88" s="73">
        <f t="shared" si="32"/>
        <v>0</v>
      </c>
      <c r="H88" s="73">
        <f t="shared" si="32"/>
        <v>0</v>
      </c>
      <c r="I88" s="77">
        <f t="shared" si="32"/>
        <v>0</v>
      </c>
      <c r="J88" s="73">
        <f t="shared" si="32"/>
        <v>0</v>
      </c>
      <c r="K88" s="73">
        <f t="shared" si="32"/>
        <v>0</v>
      </c>
      <c r="L88" s="73">
        <f t="shared" si="32"/>
        <v>0</v>
      </c>
      <c r="M88" s="73">
        <f t="shared" si="32"/>
        <v>0</v>
      </c>
      <c r="N88" s="123">
        <f t="shared" si="32"/>
        <v>0</v>
      </c>
      <c r="O88" s="73">
        <f t="shared" si="32"/>
        <v>0</v>
      </c>
      <c r="P88" s="73">
        <f t="shared" si="32"/>
        <v>0</v>
      </c>
      <c r="Q88" s="73">
        <f t="shared" si="32"/>
        <v>0</v>
      </c>
      <c r="R88" s="73">
        <f>R89+R92+R96+R100</f>
        <v>0</v>
      </c>
      <c r="S88" s="73">
        <f>S89+S92+S96+S100</f>
        <v>0</v>
      </c>
    </row>
    <row r="89" spans="1:19" s="55" customFormat="1" ht="38.25" hidden="1">
      <c r="A89" s="5"/>
      <c r="B89" s="82" t="s">
        <v>242</v>
      </c>
      <c r="C89" s="41"/>
      <c r="D89" s="61" t="s">
        <v>244</v>
      </c>
      <c r="E89" s="79">
        <f>E90</f>
        <v>35</v>
      </c>
      <c r="F89" s="79">
        <f aca="true" t="shared" si="33" ref="F89:S90">F90</f>
        <v>35</v>
      </c>
      <c r="G89" s="68">
        <f t="shared" si="33"/>
        <v>0</v>
      </c>
      <c r="H89" s="68">
        <f t="shared" si="33"/>
        <v>0</v>
      </c>
      <c r="I89" s="70">
        <f t="shared" si="33"/>
        <v>0</v>
      </c>
      <c r="J89" s="68">
        <f t="shared" si="33"/>
        <v>0</v>
      </c>
      <c r="K89" s="68">
        <f t="shared" si="33"/>
        <v>0</v>
      </c>
      <c r="L89" s="68">
        <f t="shared" si="33"/>
        <v>0</v>
      </c>
      <c r="M89" s="68">
        <f t="shared" si="33"/>
        <v>0</v>
      </c>
      <c r="N89" s="168">
        <f t="shared" si="33"/>
        <v>0</v>
      </c>
      <c r="O89" s="68">
        <f t="shared" si="33"/>
        <v>0</v>
      </c>
      <c r="P89" s="68">
        <f t="shared" si="33"/>
        <v>0</v>
      </c>
      <c r="Q89" s="68">
        <f t="shared" si="33"/>
        <v>0</v>
      </c>
      <c r="R89" s="68">
        <f t="shared" si="33"/>
        <v>0</v>
      </c>
      <c r="S89" s="68">
        <f t="shared" si="33"/>
        <v>0</v>
      </c>
    </row>
    <row r="90" spans="1:19" s="55" customFormat="1" ht="38.25" hidden="1">
      <c r="A90" s="5"/>
      <c r="B90" s="66" t="s">
        <v>243</v>
      </c>
      <c r="C90" s="41"/>
      <c r="D90" s="57" t="s">
        <v>245</v>
      </c>
      <c r="E90" s="79">
        <f>E91</f>
        <v>35</v>
      </c>
      <c r="F90" s="79">
        <f t="shared" si="33"/>
        <v>35</v>
      </c>
      <c r="G90" s="68">
        <f t="shared" si="33"/>
        <v>0</v>
      </c>
      <c r="H90" s="68">
        <f t="shared" si="33"/>
        <v>0</v>
      </c>
      <c r="I90" s="70">
        <f t="shared" si="33"/>
        <v>0</v>
      </c>
      <c r="J90" s="68">
        <f t="shared" si="33"/>
        <v>0</v>
      </c>
      <c r="K90" s="68">
        <f t="shared" si="33"/>
        <v>0</v>
      </c>
      <c r="L90" s="68">
        <f t="shared" si="33"/>
        <v>0</v>
      </c>
      <c r="M90" s="68">
        <f t="shared" si="33"/>
        <v>0</v>
      </c>
      <c r="N90" s="168">
        <f t="shared" si="33"/>
        <v>0</v>
      </c>
      <c r="O90" s="68">
        <f t="shared" si="33"/>
        <v>0</v>
      </c>
      <c r="P90" s="68">
        <f t="shared" si="33"/>
        <v>0</v>
      </c>
      <c r="Q90" s="68">
        <f t="shared" si="33"/>
        <v>0</v>
      </c>
      <c r="R90" s="68">
        <f t="shared" si="33"/>
        <v>0</v>
      </c>
      <c r="S90" s="68">
        <f t="shared" si="33"/>
        <v>0</v>
      </c>
    </row>
    <row r="91" spans="1:19" s="55" customFormat="1" ht="12.75" hidden="1">
      <c r="A91" s="5"/>
      <c r="B91" s="66"/>
      <c r="C91" s="41" t="s">
        <v>4</v>
      </c>
      <c r="D91" s="67" t="s">
        <v>5</v>
      </c>
      <c r="E91" s="79">
        <v>35</v>
      </c>
      <c r="F91" s="93">
        <f>E91+SUM(G91:Q91)</f>
        <v>35</v>
      </c>
      <c r="G91" s="68"/>
      <c r="H91" s="68"/>
      <c r="I91" s="153"/>
      <c r="J91" s="69"/>
      <c r="K91" s="68"/>
      <c r="L91" s="68"/>
      <c r="M91" s="68"/>
      <c r="N91" s="168"/>
      <c r="O91" s="68"/>
      <c r="P91" s="68"/>
      <c r="Q91" s="68"/>
      <c r="R91" s="68"/>
      <c r="S91" s="68"/>
    </row>
    <row r="92" spans="1:19" s="55" customFormat="1" ht="38.25" hidden="1">
      <c r="A92" s="5"/>
      <c r="B92" s="82" t="s">
        <v>246</v>
      </c>
      <c r="C92" s="99"/>
      <c r="D92" s="61" t="s">
        <v>248</v>
      </c>
      <c r="E92" s="79">
        <f>E93</f>
        <v>10</v>
      </c>
      <c r="F92" s="79">
        <f aca="true" t="shared" si="34" ref="F92:S92">F93</f>
        <v>10</v>
      </c>
      <c r="G92" s="68">
        <f t="shared" si="34"/>
        <v>0</v>
      </c>
      <c r="H92" s="68">
        <f t="shared" si="34"/>
        <v>0</v>
      </c>
      <c r="I92" s="70">
        <f t="shared" si="34"/>
        <v>0</v>
      </c>
      <c r="J92" s="68">
        <f t="shared" si="34"/>
        <v>0</v>
      </c>
      <c r="K92" s="68">
        <f t="shared" si="34"/>
        <v>0</v>
      </c>
      <c r="L92" s="68">
        <f t="shared" si="34"/>
        <v>0</v>
      </c>
      <c r="M92" s="68">
        <f t="shared" si="34"/>
        <v>0</v>
      </c>
      <c r="N92" s="168">
        <f t="shared" si="34"/>
        <v>0</v>
      </c>
      <c r="O92" s="68">
        <f t="shared" si="34"/>
        <v>0</v>
      </c>
      <c r="P92" s="68">
        <f t="shared" si="34"/>
        <v>0</v>
      </c>
      <c r="Q92" s="68">
        <f t="shared" si="34"/>
        <v>0</v>
      </c>
      <c r="R92" s="68">
        <f t="shared" si="34"/>
        <v>0</v>
      </c>
      <c r="S92" s="68">
        <f t="shared" si="34"/>
        <v>0</v>
      </c>
    </row>
    <row r="93" spans="1:19" s="55" customFormat="1" ht="25.5" hidden="1">
      <c r="A93" s="5"/>
      <c r="B93" s="66" t="s">
        <v>247</v>
      </c>
      <c r="C93" s="41"/>
      <c r="D93" s="57" t="s">
        <v>249</v>
      </c>
      <c r="E93" s="79">
        <f>E94+E95</f>
        <v>10</v>
      </c>
      <c r="F93" s="79">
        <f aca="true" t="shared" si="35" ref="F93:Q93">F94+F95</f>
        <v>10</v>
      </c>
      <c r="G93" s="79">
        <f t="shared" si="35"/>
        <v>0</v>
      </c>
      <c r="H93" s="79">
        <f t="shared" si="35"/>
        <v>0</v>
      </c>
      <c r="I93" s="96">
        <f t="shared" si="35"/>
        <v>0</v>
      </c>
      <c r="J93" s="79">
        <f t="shared" si="35"/>
        <v>0</v>
      </c>
      <c r="K93" s="79">
        <f t="shared" si="35"/>
        <v>0</v>
      </c>
      <c r="L93" s="79">
        <f t="shared" si="35"/>
        <v>0</v>
      </c>
      <c r="M93" s="79">
        <f t="shared" si="35"/>
        <v>0</v>
      </c>
      <c r="N93" s="170">
        <f t="shared" si="35"/>
        <v>0</v>
      </c>
      <c r="O93" s="79">
        <f t="shared" si="35"/>
        <v>0</v>
      </c>
      <c r="P93" s="79">
        <f t="shared" si="35"/>
        <v>0</v>
      </c>
      <c r="Q93" s="79">
        <f t="shared" si="35"/>
        <v>0</v>
      </c>
      <c r="R93" s="79">
        <f>R94+R95</f>
        <v>0</v>
      </c>
      <c r="S93" s="79">
        <f>S94+S95</f>
        <v>0</v>
      </c>
    </row>
    <row r="94" spans="1:19" s="55" customFormat="1" ht="25.5" hidden="1">
      <c r="A94" s="5"/>
      <c r="B94" s="66"/>
      <c r="C94" s="41" t="s">
        <v>3</v>
      </c>
      <c r="D94" s="67" t="s">
        <v>95</v>
      </c>
      <c r="E94" s="79">
        <v>10</v>
      </c>
      <c r="F94" s="93">
        <f>E94+SUM(G94:Q94)</f>
        <v>0</v>
      </c>
      <c r="G94" s="68">
        <v>-10</v>
      </c>
      <c r="H94" s="68"/>
      <c r="I94" s="153"/>
      <c r="J94" s="69"/>
      <c r="K94" s="68"/>
      <c r="L94" s="68"/>
      <c r="M94" s="68"/>
      <c r="N94" s="168"/>
      <c r="O94" s="68"/>
      <c r="P94" s="68"/>
      <c r="Q94" s="68"/>
      <c r="R94" s="68"/>
      <c r="S94" s="68"/>
    </row>
    <row r="95" spans="1:19" s="55" customFormat="1" ht="25.5" hidden="1">
      <c r="A95" s="5"/>
      <c r="B95" s="66"/>
      <c r="C95" s="41" t="s">
        <v>11</v>
      </c>
      <c r="D95" s="67" t="s">
        <v>12</v>
      </c>
      <c r="E95" s="79"/>
      <c r="F95" s="93">
        <f>E95+SUM(G95:Q95)</f>
        <v>10</v>
      </c>
      <c r="G95" s="68">
        <v>10</v>
      </c>
      <c r="H95" s="68"/>
      <c r="I95" s="153"/>
      <c r="J95" s="69"/>
      <c r="K95" s="68"/>
      <c r="L95" s="68"/>
      <c r="M95" s="68"/>
      <c r="N95" s="168"/>
      <c r="O95" s="68"/>
      <c r="P95" s="68"/>
      <c r="Q95" s="68"/>
      <c r="R95" s="68"/>
      <c r="S95" s="68"/>
    </row>
    <row r="96" spans="1:19" s="55" customFormat="1" ht="25.5" hidden="1">
      <c r="A96" s="5"/>
      <c r="B96" s="82" t="s">
        <v>250</v>
      </c>
      <c r="C96" s="41"/>
      <c r="D96" s="61" t="s">
        <v>119</v>
      </c>
      <c r="E96" s="79">
        <f>E97</f>
        <v>22</v>
      </c>
      <c r="F96" s="79">
        <f aca="true" t="shared" si="36" ref="F96:S98">F97</f>
        <v>22</v>
      </c>
      <c r="G96" s="68">
        <f t="shared" si="36"/>
        <v>0</v>
      </c>
      <c r="H96" s="68">
        <f t="shared" si="36"/>
        <v>0</v>
      </c>
      <c r="I96" s="70">
        <f t="shared" si="36"/>
        <v>0</v>
      </c>
      <c r="J96" s="68">
        <f t="shared" si="36"/>
        <v>0</v>
      </c>
      <c r="K96" s="68">
        <f t="shared" si="36"/>
        <v>0</v>
      </c>
      <c r="L96" s="68">
        <f t="shared" si="36"/>
        <v>0</v>
      </c>
      <c r="M96" s="68">
        <f t="shared" si="36"/>
        <v>0</v>
      </c>
      <c r="N96" s="168">
        <f t="shared" si="36"/>
        <v>0</v>
      </c>
      <c r="O96" s="68">
        <f t="shared" si="36"/>
        <v>0</v>
      </c>
      <c r="P96" s="68">
        <f t="shared" si="36"/>
        <v>0</v>
      </c>
      <c r="Q96" s="68">
        <f t="shared" si="36"/>
        <v>0</v>
      </c>
      <c r="R96" s="68">
        <f t="shared" si="36"/>
        <v>0</v>
      </c>
      <c r="S96" s="68">
        <f t="shared" si="36"/>
        <v>0</v>
      </c>
    </row>
    <row r="97" spans="1:19" s="55" customFormat="1" ht="38.25" hidden="1">
      <c r="A97" s="5"/>
      <c r="B97" s="66" t="s">
        <v>251</v>
      </c>
      <c r="C97" s="41"/>
      <c r="D97" s="57" t="s">
        <v>253</v>
      </c>
      <c r="E97" s="79">
        <f>E98</f>
        <v>22</v>
      </c>
      <c r="F97" s="79">
        <f t="shared" si="36"/>
        <v>22</v>
      </c>
      <c r="G97" s="68">
        <f t="shared" si="36"/>
        <v>0</v>
      </c>
      <c r="H97" s="68">
        <f t="shared" si="36"/>
        <v>0</v>
      </c>
      <c r="I97" s="70">
        <f t="shared" si="36"/>
        <v>0</v>
      </c>
      <c r="J97" s="68">
        <f t="shared" si="36"/>
        <v>0</v>
      </c>
      <c r="K97" s="68">
        <f t="shared" si="36"/>
        <v>0</v>
      </c>
      <c r="L97" s="68">
        <f t="shared" si="36"/>
        <v>0</v>
      </c>
      <c r="M97" s="68">
        <f t="shared" si="36"/>
        <v>0</v>
      </c>
      <c r="N97" s="168">
        <f t="shared" si="36"/>
        <v>0</v>
      </c>
      <c r="O97" s="68">
        <f t="shared" si="36"/>
        <v>0</v>
      </c>
      <c r="P97" s="68">
        <f t="shared" si="36"/>
        <v>0</v>
      </c>
      <c r="Q97" s="68">
        <f t="shared" si="36"/>
        <v>0</v>
      </c>
      <c r="R97" s="68">
        <f t="shared" si="36"/>
        <v>0</v>
      </c>
      <c r="S97" s="68">
        <f t="shared" si="36"/>
        <v>0</v>
      </c>
    </row>
    <row r="98" spans="1:19" s="55" customFormat="1" ht="25.5" hidden="1">
      <c r="A98" s="5"/>
      <c r="B98" s="66" t="s">
        <v>252</v>
      </c>
      <c r="C98" s="41"/>
      <c r="D98" s="57" t="s">
        <v>254</v>
      </c>
      <c r="E98" s="79">
        <f>E99</f>
        <v>22</v>
      </c>
      <c r="F98" s="79">
        <f t="shared" si="36"/>
        <v>22</v>
      </c>
      <c r="G98" s="68">
        <f t="shared" si="36"/>
        <v>0</v>
      </c>
      <c r="H98" s="68">
        <f t="shared" si="36"/>
        <v>0</v>
      </c>
      <c r="I98" s="70">
        <f t="shared" si="36"/>
        <v>0</v>
      </c>
      <c r="J98" s="68">
        <f t="shared" si="36"/>
        <v>0</v>
      </c>
      <c r="K98" s="68">
        <f t="shared" si="36"/>
        <v>0</v>
      </c>
      <c r="L98" s="68">
        <f t="shared" si="36"/>
        <v>0</v>
      </c>
      <c r="M98" s="68">
        <f t="shared" si="36"/>
        <v>0</v>
      </c>
      <c r="N98" s="168">
        <f t="shared" si="36"/>
        <v>0</v>
      </c>
      <c r="O98" s="68">
        <f t="shared" si="36"/>
        <v>0</v>
      </c>
      <c r="P98" s="68">
        <f t="shared" si="36"/>
        <v>0</v>
      </c>
      <c r="Q98" s="68">
        <f t="shared" si="36"/>
        <v>0</v>
      </c>
      <c r="R98" s="68">
        <f t="shared" si="36"/>
        <v>0</v>
      </c>
      <c r="S98" s="68">
        <f t="shared" si="36"/>
        <v>0</v>
      </c>
    </row>
    <row r="99" spans="1:19" ht="25.5" hidden="1">
      <c r="A99" s="17"/>
      <c r="B99" s="66"/>
      <c r="C99" s="41" t="s">
        <v>3</v>
      </c>
      <c r="D99" s="67" t="s">
        <v>95</v>
      </c>
      <c r="E99" s="79">
        <f>22</f>
        <v>22</v>
      </c>
      <c r="F99" s="93">
        <f>E99+SUM(G99:Q99)</f>
        <v>22</v>
      </c>
      <c r="G99" s="68"/>
      <c r="H99" s="68"/>
      <c r="I99" s="153"/>
      <c r="J99" s="69"/>
      <c r="K99" s="68"/>
      <c r="L99" s="68"/>
      <c r="M99" s="68"/>
      <c r="N99" s="168"/>
      <c r="O99" s="68"/>
      <c r="P99" s="68"/>
      <c r="Q99" s="68"/>
      <c r="R99" s="68"/>
      <c r="S99" s="68"/>
    </row>
    <row r="100" spans="1:19" ht="51" hidden="1">
      <c r="A100" s="17"/>
      <c r="B100" s="82" t="s">
        <v>255</v>
      </c>
      <c r="C100" s="41"/>
      <c r="D100" s="61" t="s">
        <v>120</v>
      </c>
      <c r="E100" s="79">
        <f>E101+E104</f>
        <v>700</v>
      </c>
      <c r="F100" s="79">
        <f aca="true" t="shared" si="37" ref="F100:Q100">F101+F104</f>
        <v>700</v>
      </c>
      <c r="G100" s="79">
        <f t="shared" si="37"/>
        <v>0</v>
      </c>
      <c r="H100" s="79">
        <f t="shared" si="37"/>
        <v>0</v>
      </c>
      <c r="I100" s="79">
        <f t="shared" si="37"/>
        <v>0</v>
      </c>
      <c r="J100" s="79">
        <f t="shared" si="37"/>
        <v>0</v>
      </c>
      <c r="K100" s="79">
        <f t="shared" si="37"/>
        <v>0</v>
      </c>
      <c r="L100" s="79">
        <f t="shared" si="37"/>
        <v>0</v>
      </c>
      <c r="M100" s="79">
        <f t="shared" si="37"/>
        <v>0</v>
      </c>
      <c r="N100" s="170">
        <f t="shared" si="37"/>
        <v>0</v>
      </c>
      <c r="O100" s="79">
        <f t="shared" si="37"/>
        <v>0</v>
      </c>
      <c r="P100" s="79">
        <f t="shared" si="37"/>
        <v>0</v>
      </c>
      <c r="Q100" s="79">
        <f t="shared" si="37"/>
        <v>0</v>
      </c>
      <c r="R100" s="79">
        <f>R101+R104</f>
        <v>0</v>
      </c>
      <c r="S100" s="79">
        <f>S101+S104</f>
        <v>0</v>
      </c>
    </row>
    <row r="101" spans="1:19" ht="51" hidden="1">
      <c r="A101" s="17"/>
      <c r="B101" s="66" t="s">
        <v>256</v>
      </c>
      <c r="C101" s="41"/>
      <c r="D101" s="67" t="s">
        <v>545</v>
      </c>
      <c r="E101" s="79">
        <f>E102</f>
        <v>0</v>
      </c>
      <c r="F101" s="79">
        <f aca="true" t="shared" si="38" ref="F101:S102">F102</f>
        <v>700</v>
      </c>
      <c r="G101" s="79">
        <f t="shared" si="38"/>
        <v>0</v>
      </c>
      <c r="H101" s="79">
        <f t="shared" si="38"/>
        <v>0</v>
      </c>
      <c r="I101" s="79">
        <f t="shared" si="38"/>
        <v>0</v>
      </c>
      <c r="J101" s="79">
        <f t="shared" si="38"/>
        <v>0</v>
      </c>
      <c r="K101" s="79">
        <f t="shared" si="38"/>
        <v>0</v>
      </c>
      <c r="L101" s="79">
        <f t="shared" si="38"/>
        <v>700</v>
      </c>
      <c r="M101" s="79">
        <f t="shared" si="38"/>
        <v>0</v>
      </c>
      <c r="N101" s="170">
        <f t="shared" si="38"/>
        <v>0</v>
      </c>
      <c r="O101" s="79">
        <f t="shared" si="38"/>
        <v>0</v>
      </c>
      <c r="P101" s="79">
        <f t="shared" si="38"/>
        <v>0</v>
      </c>
      <c r="Q101" s="79">
        <f t="shared" si="38"/>
        <v>0</v>
      </c>
      <c r="R101" s="79">
        <f t="shared" si="38"/>
        <v>0</v>
      </c>
      <c r="S101" s="79">
        <f t="shared" si="38"/>
        <v>0</v>
      </c>
    </row>
    <row r="102" spans="1:19" ht="76.5" hidden="1">
      <c r="A102" s="17"/>
      <c r="B102" s="66" t="s">
        <v>257</v>
      </c>
      <c r="C102" s="41"/>
      <c r="D102" s="67" t="s">
        <v>546</v>
      </c>
      <c r="E102" s="79">
        <f>E103</f>
        <v>0</v>
      </c>
      <c r="F102" s="79">
        <f t="shared" si="38"/>
        <v>700</v>
      </c>
      <c r="G102" s="79">
        <f t="shared" si="38"/>
        <v>0</v>
      </c>
      <c r="H102" s="79">
        <f t="shared" si="38"/>
        <v>0</v>
      </c>
      <c r="I102" s="79">
        <f t="shared" si="38"/>
        <v>0</v>
      </c>
      <c r="J102" s="79">
        <f t="shared" si="38"/>
        <v>0</v>
      </c>
      <c r="K102" s="79">
        <f t="shared" si="38"/>
        <v>0</v>
      </c>
      <c r="L102" s="79">
        <f t="shared" si="38"/>
        <v>700</v>
      </c>
      <c r="M102" s="79">
        <f t="shared" si="38"/>
        <v>0</v>
      </c>
      <c r="N102" s="170">
        <f t="shared" si="38"/>
        <v>0</v>
      </c>
      <c r="O102" s="79">
        <f t="shared" si="38"/>
        <v>0</v>
      </c>
      <c r="P102" s="79">
        <f t="shared" si="38"/>
        <v>0</v>
      </c>
      <c r="Q102" s="79">
        <f t="shared" si="38"/>
        <v>0</v>
      </c>
      <c r="R102" s="79">
        <f t="shared" si="38"/>
        <v>0</v>
      </c>
      <c r="S102" s="79">
        <f t="shared" si="38"/>
        <v>0</v>
      </c>
    </row>
    <row r="103" spans="1:19" ht="25.5" hidden="1">
      <c r="A103" s="17"/>
      <c r="B103" s="66"/>
      <c r="C103" s="41" t="s">
        <v>3</v>
      </c>
      <c r="D103" s="67" t="s">
        <v>95</v>
      </c>
      <c r="E103" s="79"/>
      <c r="F103" s="93">
        <f>E103+SUM(G103:Q103)</f>
        <v>700</v>
      </c>
      <c r="G103" s="68"/>
      <c r="H103" s="68"/>
      <c r="I103" s="70"/>
      <c r="J103" s="68"/>
      <c r="K103" s="68"/>
      <c r="L103" s="68">
        <f>428.223+271.777</f>
        <v>700</v>
      </c>
      <c r="M103" s="68"/>
      <c r="N103" s="168"/>
      <c r="O103" s="68"/>
      <c r="P103" s="68"/>
      <c r="Q103" s="68"/>
      <c r="R103" s="68"/>
      <c r="S103" s="68"/>
    </row>
    <row r="104" spans="1:19" ht="51" hidden="1">
      <c r="A104" s="17"/>
      <c r="B104" s="66" t="s">
        <v>256</v>
      </c>
      <c r="C104" s="41"/>
      <c r="D104" s="57" t="s">
        <v>258</v>
      </c>
      <c r="E104" s="79">
        <f>E105</f>
        <v>700</v>
      </c>
      <c r="F104" s="79">
        <f aca="true" t="shared" si="39" ref="F104:S104">F105</f>
        <v>0</v>
      </c>
      <c r="G104" s="79">
        <f t="shared" si="39"/>
        <v>0</v>
      </c>
      <c r="H104" s="79">
        <f t="shared" si="39"/>
        <v>0</v>
      </c>
      <c r="I104" s="79">
        <f t="shared" si="39"/>
        <v>0</v>
      </c>
      <c r="J104" s="79">
        <f t="shared" si="39"/>
        <v>0</v>
      </c>
      <c r="K104" s="79">
        <f t="shared" si="39"/>
        <v>0</v>
      </c>
      <c r="L104" s="79">
        <f t="shared" si="39"/>
        <v>-700</v>
      </c>
      <c r="M104" s="79">
        <f t="shared" si="39"/>
        <v>0</v>
      </c>
      <c r="N104" s="170">
        <f t="shared" si="39"/>
        <v>0</v>
      </c>
      <c r="O104" s="79">
        <f t="shared" si="39"/>
        <v>0</v>
      </c>
      <c r="P104" s="79">
        <f t="shared" si="39"/>
        <v>0</v>
      </c>
      <c r="Q104" s="79">
        <f t="shared" si="39"/>
        <v>0</v>
      </c>
      <c r="R104" s="79">
        <f t="shared" si="39"/>
        <v>0</v>
      </c>
      <c r="S104" s="79">
        <f t="shared" si="39"/>
        <v>0</v>
      </c>
    </row>
    <row r="105" spans="1:19" ht="76.5" hidden="1">
      <c r="A105" s="17"/>
      <c r="B105" s="66" t="s">
        <v>257</v>
      </c>
      <c r="C105" s="41"/>
      <c r="D105" s="57" t="s">
        <v>259</v>
      </c>
      <c r="E105" s="79">
        <f aca="true" t="shared" si="40" ref="E105:S105">E106</f>
        <v>700</v>
      </c>
      <c r="F105" s="79">
        <f t="shared" si="40"/>
        <v>0</v>
      </c>
      <c r="G105" s="79">
        <f t="shared" si="40"/>
        <v>0</v>
      </c>
      <c r="H105" s="79">
        <f t="shared" si="40"/>
        <v>0</v>
      </c>
      <c r="I105" s="79">
        <f t="shared" si="40"/>
        <v>0</v>
      </c>
      <c r="J105" s="79">
        <f t="shared" si="40"/>
        <v>0</v>
      </c>
      <c r="K105" s="79">
        <f t="shared" si="40"/>
        <v>0</v>
      </c>
      <c r="L105" s="79">
        <f t="shared" si="40"/>
        <v>-700</v>
      </c>
      <c r="M105" s="79">
        <f t="shared" si="40"/>
        <v>0</v>
      </c>
      <c r="N105" s="170">
        <f t="shared" si="40"/>
        <v>0</v>
      </c>
      <c r="O105" s="79">
        <f t="shared" si="40"/>
        <v>0</v>
      </c>
      <c r="P105" s="79">
        <f t="shared" si="40"/>
        <v>0</v>
      </c>
      <c r="Q105" s="79">
        <f t="shared" si="40"/>
        <v>0</v>
      </c>
      <c r="R105" s="79">
        <f t="shared" si="40"/>
        <v>0</v>
      </c>
      <c r="S105" s="79">
        <f t="shared" si="40"/>
        <v>0</v>
      </c>
    </row>
    <row r="106" spans="1:19" ht="25.5" hidden="1">
      <c r="A106" s="17"/>
      <c r="B106" s="66"/>
      <c r="C106" s="41" t="s">
        <v>3</v>
      </c>
      <c r="D106" s="67" t="s">
        <v>95</v>
      </c>
      <c r="E106" s="79">
        <f>700</f>
        <v>700</v>
      </c>
      <c r="F106" s="93">
        <f>E106+SUM(G106:Q106)</f>
        <v>0</v>
      </c>
      <c r="G106" s="68">
        <f>428.223-428.223</f>
        <v>0</v>
      </c>
      <c r="H106" s="68"/>
      <c r="I106" s="153"/>
      <c r="J106" s="69"/>
      <c r="K106" s="68"/>
      <c r="L106" s="68">
        <f>-428.223-271.777</f>
        <v>-700</v>
      </c>
      <c r="M106" s="68"/>
      <c r="N106" s="168"/>
      <c r="O106" s="68"/>
      <c r="P106" s="68"/>
      <c r="Q106" s="68"/>
      <c r="R106" s="68"/>
      <c r="S106" s="68"/>
    </row>
    <row r="107" spans="1:19" ht="51" hidden="1">
      <c r="A107" s="17"/>
      <c r="B107" s="63" t="s">
        <v>265</v>
      </c>
      <c r="C107" s="11"/>
      <c r="D107" s="60" t="s">
        <v>121</v>
      </c>
      <c r="E107" s="95">
        <f>E108+E112</f>
        <v>670</v>
      </c>
      <c r="F107" s="95">
        <f aca="true" t="shared" si="41" ref="F107:Q107">F108+F112</f>
        <v>670</v>
      </c>
      <c r="G107" s="73">
        <f t="shared" si="41"/>
        <v>0</v>
      </c>
      <c r="H107" s="73">
        <f t="shared" si="41"/>
        <v>0</v>
      </c>
      <c r="I107" s="77">
        <f t="shared" si="41"/>
        <v>0</v>
      </c>
      <c r="J107" s="73">
        <f t="shared" si="41"/>
        <v>0</v>
      </c>
      <c r="K107" s="73">
        <f t="shared" si="41"/>
        <v>0</v>
      </c>
      <c r="L107" s="73">
        <f t="shared" si="41"/>
        <v>0</v>
      </c>
      <c r="M107" s="73">
        <f t="shared" si="41"/>
        <v>0</v>
      </c>
      <c r="N107" s="123">
        <f t="shared" si="41"/>
        <v>0</v>
      </c>
      <c r="O107" s="73">
        <f t="shared" si="41"/>
        <v>0</v>
      </c>
      <c r="P107" s="73">
        <f t="shared" si="41"/>
        <v>0</v>
      </c>
      <c r="Q107" s="73">
        <f t="shared" si="41"/>
        <v>0</v>
      </c>
      <c r="R107" s="73">
        <f>R108+R112</f>
        <v>0</v>
      </c>
      <c r="S107" s="73">
        <f>S108+S112</f>
        <v>0</v>
      </c>
    </row>
    <row r="108" spans="1:19" ht="25.5" hidden="1">
      <c r="A108" s="17"/>
      <c r="B108" s="82" t="s">
        <v>266</v>
      </c>
      <c r="C108" s="99"/>
      <c r="D108" s="61" t="s">
        <v>268</v>
      </c>
      <c r="E108" s="79">
        <f>E109</f>
        <v>600</v>
      </c>
      <c r="F108" s="79">
        <f aca="true" t="shared" si="42" ref="F108:S108">F109</f>
        <v>600</v>
      </c>
      <c r="G108" s="68">
        <f t="shared" si="42"/>
        <v>0</v>
      </c>
      <c r="H108" s="68">
        <f t="shared" si="42"/>
        <v>0</v>
      </c>
      <c r="I108" s="70">
        <f t="shared" si="42"/>
        <v>0</v>
      </c>
      <c r="J108" s="68">
        <f t="shared" si="42"/>
        <v>0</v>
      </c>
      <c r="K108" s="68">
        <f t="shared" si="42"/>
        <v>0</v>
      </c>
      <c r="L108" s="68">
        <f t="shared" si="42"/>
        <v>0</v>
      </c>
      <c r="M108" s="68">
        <f t="shared" si="42"/>
        <v>0</v>
      </c>
      <c r="N108" s="168">
        <f t="shared" si="42"/>
        <v>0</v>
      </c>
      <c r="O108" s="68">
        <f t="shared" si="42"/>
        <v>0</v>
      </c>
      <c r="P108" s="68">
        <f t="shared" si="42"/>
        <v>0</v>
      </c>
      <c r="Q108" s="68">
        <f t="shared" si="42"/>
        <v>0</v>
      </c>
      <c r="R108" s="68">
        <f t="shared" si="42"/>
        <v>0</v>
      </c>
      <c r="S108" s="68">
        <f t="shared" si="42"/>
        <v>0</v>
      </c>
    </row>
    <row r="109" spans="1:19" ht="25.5" hidden="1">
      <c r="A109" s="17"/>
      <c r="B109" s="66" t="s">
        <v>267</v>
      </c>
      <c r="C109" s="41"/>
      <c r="D109" s="57" t="s">
        <v>269</v>
      </c>
      <c r="E109" s="79">
        <f>E110+E111</f>
        <v>600</v>
      </c>
      <c r="F109" s="79">
        <f aca="true" t="shared" si="43" ref="F109:Q109">F110+F111</f>
        <v>600</v>
      </c>
      <c r="G109" s="68">
        <f t="shared" si="43"/>
        <v>0</v>
      </c>
      <c r="H109" s="68">
        <f t="shared" si="43"/>
        <v>0</v>
      </c>
      <c r="I109" s="70">
        <f t="shared" si="43"/>
        <v>0</v>
      </c>
      <c r="J109" s="68">
        <f t="shared" si="43"/>
        <v>0</v>
      </c>
      <c r="K109" s="68">
        <f t="shared" si="43"/>
        <v>0</v>
      </c>
      <c r="L109" s="68">
        <f t="shared" si="43"/>
        <v>0</v>
      </c>
      <c r="M109" s="68">
        <f t="shared" si="43"/>
        <v>0</v>
      </c>
      <c r="N109" s="168">
        <f t="shared" si="43"/>
        <v>0</v>
      </c>
      <c r="O109" s="68">
        <f t="shared" si="43"/>
        <v>0</v>
      </c>
      <c r="P109" s="68">
        <f t="shared" si="43"/>
        <v>0</v>
      </c>
      <c r="Q109" s="68">
        <f t="shared" si="43"/>
        <v>0</v>
      </c>
      <c r="R109" s="68">
        <f>R110+R111</f>
        <v>0</v>
      </c>
      <c r="S109" s="68">
        <f>S110+S111</f>
        <v>0</v>
      </c>
    </row>
    <row r="110" spans="1:19" ht="25.5" hidden="1">
      <c r="A110" s="17"/>
      <c r="B110" s="66"/>
      <c r="C110" s="41" t="s">
        <v>3</v>
      </c>
      <c r="D110" s="67" t="s">
        <v>95</v>
      </c>
      <c r="E110" s="79"/>
      <c r="F110" s="93">
        <f>E110+SUM(G110:Q110)</f>
        <v>0</v>
      </c>
      <c r="G110" s="68"/>
      <c r="H110" s="68"/>
      <c r="I110" s="153"/>
      <c r="J110" s="69"/>
      <c r="K110" s="68"/>
      <c r="L110" s="68"/>
      <c r="M110" s="68"/>
      <c r="N110" s="168"/>
      <c r="O110" s="68"/>
      <c r="P110" s="68"/>
      <c r="Q110" s="68"/>
      <c r="R110" s="68"/>
      <c r="S110" s="68"/>
    </row>
    <row r="111" spans="1:19" ht="12.75" hidden="1">
      <c r="A111" s="17"/>
      <c r="B111" s="66"/>
      <c r="C111" s="41" t="s">
        <v>4</v>
      </c>
      <c r="D111" s="67" t="s">
        <v>5</v>
      </c>
      <c r="E111" s="97">
        <f>100+500</f>
        <v>600</v>
      </c>
      <c r="F111" s="93">
        <f>E111+SUM(G111:Q111)</f>
        <v>600</v>
      </c>
      <c r="G111" s="68"/>
      <c r="H111" s="68"/>
      <c r="I111" s="153"/>
      <c r="J111" s="69"/>
      <c r="K111" s="68"/>
      <c r="L111" s="70"/>
      <c r="M111" s="68"/>
      <c r="N111" s="168"/>
      <c r="O111" s="68"/>
      <c r="P111" s="68"/>
      <c r="Q111" s="68"/>
      <c r="R111" s="68"/>
      <c r="S111" s="68"/>
    </row>
    <row r="112" spans="1:19" ht="25.5" hidden="1">
      <c r="A112" s="17"/>
      <c r="B112" s="99" t="s">
        <v>270</v>
      </c>
      <c r="C112" s="99"/>
      <c r="D112" s="61" t="s">
        <v>122</v>
      </c>
      <c r="E112" s="79">
        <f>E113</f>
        <v>70</v>
      </c>
      <c r="F112" s="79">
        <f aca="true" t="shared" si="44" ref="F112:S113">F113</f>
        <v>70</v>
      </c>
      <c r="G112" s="68">
        <f t="shared" si="44"/>
        <v>0</v>
      </c>
      <c r="H112" s="68">
        <f t="shared" si="44"/>
        <v>0</v>
      </c>
      <c r="I112" s="70">
        <f t="shared" si="44"/>
        <v>0</v>
      </c>
      <c r="J112" s="68">
        <f t="shared" si="44"/>
        <v>0</v>
      </c>
      <c r="K112" s="68">
        <f t="shared" si="44"/>
        <v>0</v>
      </c>
      <c r="L112" s="68">
        <f t="shared" si="44"/>
        <v>0</v>
      </c>
      <c r="M112" s="68">
        <f t="shared" si="44"/>
        <v>0</v>
      </c>
      <c r="N112" s="168">
        <f t="shared" si="44"/>
        <v>0</v>
      </c>
      <c r="O112" s="68">
        <f t="shared" si="44"/>
        <v>0</v>
      </c>
      <c r="P112" s="68">
        <f t="shared" si="44"/>
        <v>0</v>
      </c>
      <c r="Q112" s="68">
        <f t="shared" si="44"/>
        <v>0</v>
      </c>
      <c r="R112" s="68">
        <f t="shared" si="44"/>
        <v>0</v>
      </c>
      <c r="S112" s="68">
        <f t="shared" si="44"/>
        <v>0</v>
      </c>
    </row>
    <row r="113" spans="1:19" ht="38.25" hidden="1">
      <c r="A113" s="17"/>
      <c r="B113" s="41" t="s">
        <v>271</v>
      </c>
      <c r="C113" s="41"/>
      <c r="D113" s="57" t="s">
        <v>272</v>
      </c>
      <c r="E113" s="79">
        <f>E114</f>
        <v>70</v>
      </c>
      <c r="F113" s="79">
        <f t="shared" si="44"/>
        <v>70</v>
      </c>
      <c r="G113" s="68">
        <f t="shared" si="44"/>
        <v>0</v>
      </c>
      <c r="H113" s="68">
        <f t="shared" si="44"/>
        <v>0</v>
      </c>
      <c r="I113" s="70">
        <f t="shared" si="44"/>
        <v>0</v>
      </c>
      <c r="J113" s="68">
        <f t="shared" si="44"/>
        <v>0</v>
      </c>
      <c r="K113" s="68">
        <f t="shared" si="44"/>
        <v>0</v>
      </c>
      <c r="L113" s="68">
        <f t="shared" si="44"/>
        <v>0</v>
      </c>
      <c r="M113" s="68">
        <f t="shared" si="44"/>
        <v>0</v>
      </c>
      <c r="N113" s="168">
        <f t="shared" si="44"/>
        <v>0</v>
      </c>
      <c r="O113" s="68">
        <f t="shared" si="44"/>
        <v>0</v>
      </c>
      <c r="P113" s="68">
        <f t="shared" si="44"/>
        <v>0</v>
      </c>
      <c r="Q113" s="68">
        <f t="shared" si="44"/>
        <v>0</v>
      </c>
      <c r="R113" s="68">
        <f t="shared" si="44"/>
        <v>0</v>
      </c>
      <c r="S113" s="68">
        <f t="shared" si="44"/>
        <v>0</v>
      </c>
    </row>
    <row r="114" spans="1:19" ht="25.5" hidden="1">
      <c r="A114" s="17"/>
      <c r="B114" s="66"/>
      <c r="C114" s="41" t="s">
        <v>11</v>
      </c>
      <c r="D114" s="67" t="s">
        <v>12</v>
      </c>
      <c r="E114" s="79">
        <f>70</f>
        <v>70</v>
      </c>
      <c r="F114" s="93">
        <f>E114+SUM(G114:Q114)</f>
        <v>70</v>
      </c>
      <c r="G114" s="68"/>
      <c r="H114" s="68"/>
      <c r="I114" s="153"/>
      <c r="J114" s="69"/>
      <c r="K114" s="68"/>
      <c r="L114" s="68"/>
      <c r="M114" s="68"/>
      <c r="N114" s="168"/>
      <c r="O114" s="68"/>
      <c r="P114" s="68"/>
      <c r="Q114" s="68"/>
      <c r="R114" s="68"/>
      <c r="S114" s="68"/>
    </row>
    <row r="115" spans="1:19" ht="25.5" hidden="1">
      <c r="A115" s="17"/>
      <c r="B115" s="63" t="s">
        <v>425</v>
      </c>
      <c r="C115" s="11"/>
      <c r="D115" s="84" t="s">
        <v>143</v>
      </c>
      <c r="E115" s="95">
        <f>E116+E119+E122+E124+E128+E126</f>
        <v>4324.8</v>
      </c>
      <c r="F115" s="95">
        <f aca="true" t="shared" si="45" ref="F115:Q115">F116+F119+F122+F124+F128+F126</f>
        <v>13697.707999999999</v>
      </c>
      <c r="G115" s="95">
        <f t="shared" si="45"/>
        <v>17.64</v>
      </c>
      <c r="H115" s="95">
        <f t="shared" si="45"/>
        <v>1216.888</v>
      </c>
      <c r="I115" s="95">
        <f t="shared" si="45"/>
        <v>7923.14</v>
      </c>
      <c r="J115" s="95">
        <f t="shared" si="45"/>
        <v>0</v>
      </c>
      <c r="K115" s="95">
        <f t="shared" si="45"/>
        <v>33.8</v>
      </c>
      <c r="L115" s="95">
        <f t="shared" si="45"/>
        <v>8.989</v>
      </c>
      <c r="M115" s="95">
        <f t="shared" si="45"/>
        <v>72.115</v>
      </c>
      <c r="N115" s="169">
        <f t="shared" si="45"/>
        <v>74.036</v>
      </c>
      <c r="O115" s="95">
        <f t="shared" si="45"/>
        <v>-24</v>
      </c>
      <c r="P115" s="95">
        <f t="shared" si="45"/>
        <v>50.3</v>
      </c>
      <c r="Q115" s="95">
        <f t="shared" si="45"/>
        <v>0</v>
      </c>
      <c r="R115" s="95">
        <f>R116+R119+R122+R124+R128+R126</f>
        <v>0</v>
      </c>
      <c r="S115" s="95">
        <f>S116+S119+S122+S124+S128+S126</f>
        <v>0</v>
      </c>
    </row>
    <row r="116" spans="1:19" ht="38.25" hidden="1">
      <c r="A116" s="17"/>
      <c r="B116" s="66" t="s">
        <v>426</v>
      </c>
      <c r="C116" s="41"/>
      <c r="D116" s="57" t="s">
        <v>479</v>
      </c>
      <c r="E116" s="79">
        <f>E118+E117</f>
        <v>3735.6</v>
      </c>
      <c r="F116" s="79">
        <f>F118+F117</f>
        <v>13030.392999999998</v>
      </c>
      <c r="G116" s="68">
        <f aca="true" t="shared" si="46" ref="G116:Q116">G118</f>
        <v>17.64</v>
      </c>
      <c r="H116" s="68">
        <f t="shared" si="46"/>
        <v>1216.888</v>
      </c>
      <c r="I116" s="70">
        <f t="shared" si="46"/>
        <v>7923.14</v>
      </c>
      <c r="J116" s="68">
        <f t="shared" si="46"/>
        <v>0</v>
      </c>
      <c r="K116" s="68">
        <f t="shared" si="46"/>
        <v>33.8</v>
      </c>
      <c r="L116" s="68">
        <f t="shared" si="46"/>
        <v>8.989</v>
      </c>
      <c r="M116" s="68">
        <f>M118+M117</f>
        <v>0</v>
      </c>
      <c r="N116" s="168">
        <f t="shared" si="46"/>
        <v>44.036</v>
      </c>
      <c r="O116" s="68">
        <f t="shared" si="46"/>
        <v>0</v>
      </c>
      <c r="P116" s="68">
        <f t="shared" si="46"/>
        <v>50.3</v>
      </c>
      <c r="Q116" s="68">
        <f t="shared" si="46"/>
        <v>0</v>
      </c>
      <c r="R116" s="68">
        <f>R118</f>
        <v>0</v>
      </c>
      <c r="S116" s="68">
        <f>S118</f>
        <v>0</v>
      </c>
    </row>
    <row r="117" spans="1:19" ht="25.5" hidden="1">
      <c r="A117" s="17"/>
      <c r="B117" s="66"/>
      <c r="C117" s="41" t="s">
        <v>3</v>
      </c>
      <c r="D117" s="67" t="s">
        <v>95</v>
      </c>
      <c r="E117" s="79"/>
      <c r="F117" s="93">
        <f>E117+SUM(G117:Q117)</f>
        <v>0</v>
      </c>
      <c r="G117" s="68"/>
      <c r="H117" s="68"/>
      <c r="I117" s="70"/>
      <c r="J117" s="68"/>
      <c r="K117" s="68"/>
      <c r="L117" s="68"/>
      <c r="M117" s="68"/>
      <c r="N117" s="168"/>
      <c r="O117" s="68"/>
      <c r="P117" s="68"/>
      <c r="Q117" s="68"/>
      <c r="R117" s="68"/>
      <c r="S117" s="68"/>
    </row>
    <row r="118" spans="1:19" ht="18" customHeight="1" hidden="1">
      <c r="A118" s="17"/>
      <c r="B118" s="56"/>
      <c r="C118" s="41" t="s">
        <v>4</v>
      </c>
      <c r="D118" s="67" t="s">
        <v>5</v>
      </c>
      <c r="E118" s="79">
        <f>3735.6</f>
        <v>3735.6</v>
      </c>
      <c r="F118" s="93">
        <f>E118+SUM(G118:Q118)</f>
        <v>13030.392999999998</v>
      </c>
      <c r="G118" s="68">
        <v>17.64</v>
      </c>
      <c r="H118" s="68">
        <f>1143.388+73.5</f>
        <v>1216.888</v>
      </c>
      <c r="I118" s="70">
        <f>50.3+7872.84</f>
        <v>7923.14</v>
      </c>
      <c r="J118" s="68"/>
      <c r="K118" s="68">
        <v>33.8</v>
      </c>
      <c r="L118" s="68">
        <f>8.989</f>
        <v>8.989</v>
      </c>
      <c r="M118" s="68"/>
      <c r="N118" s="168">
        <v>44.036</v>
      </c>
      <c r="O118" s="68"/>
      <c r="P118" s="68">
        <v>50.3</v>
      </c>
      <c r="Q118" s="68"/>
      <c r="R118" s="68"/>
      <c r="S118" s="68"/>
    </row>
    <row r="119" spans="1:19" ht="38.25" hidden="1">
      <c r="A119" s="17"/>
      <c r="B119" s="66" t="s">
        <v>427</v>
      </c>
      <c r="C119" s="56"/>
      <c r="D119" s="83" t="s">
        <v>100</v>
      </c>
      <c r="E119" s="79">
        <f>E120+E121</f>
        <v>195</v>
      </c>
      <c r="F119" s="79">
        <f aca="true" t="shared" si="47" ref="F119:Q119">F120+F121</f>
        <v>171</v>
      </c>
      <c r="G119" s="68">
        <f t="shared" si="47"/>
        <v>0</v>
      </c>
      <c r="H119" s="68">
        <f t="shared" si="47"/>
        <v>0</v>
      </c>
      <c r="I119" s="70">
        <f t="shared" si="47"/>
        <v>0</v>
      </c>
      <c r="J119" s="68">
        <f t="shared" si="47"/>
        <v>0</v>
      </c>
      <c r="K119" s="68">
        <f t="shared" si="47"/>
        <v>0</v>
      </c>
      <c r="L119" s="68">
        <f t="shared" si="47"/>
        <v>0</v>
      </c>
      <c r="M119" s="68">
        <f t="shared" si="47"/>
        <v>0</v>
      </c>
      <c r="N119" s="168">
        <f t="shared" si="47"/>
        <v>0</v>
      </c>
      <c r="O119" s="68">
        <f t="shared" si="47"/>
        <v>-24</v>
      </c>
      <c r="P119" s="68">
        <f t="shared" si="47"/>
        <v>0</v>
      </c>
      <c r="Q119" s="68">
        <f t="shared" si="47"/>
        <v>0</v>
      </c>
      <c r="R119" s="68">
        <f>R120+R121</f>
        <v>0</v>
      </c>
      <c r="S119" s="68">
        <f>S120+S121</f>
        <v>0</v>
      </c>
    </row>
    <row r="120" spans="1:19" ht="12.75" hidden="1">
      <c r="A120" s="17"/>
      <c r="B120" s="66"/>
      <c r="C120" s="41" t="s">
        <v>6</v>
      </c>
      <c r="D120" s="67" t="s">
        <v>7</v>
      </c>
      <c r="E120" s="79">
        <f>150</f>
        <v>150</v>
      </c>
      <c r="F120" s="93">
        <f>E120+SUM(G120:Q120)</f>
        <v>150</v>
      </c>
      <c r="G120" s="68"/>
      <c r="H120" s="68"/>
      <c r="I120" s="70"/>
      <c r="J120" s="68"/>
      <c r="K120" s="68"/>
      <c r="L120" s="68"/>
      <c r="M120" s="68"/>
      <c r="N120" s="168"/>
      <c r="O120" s="68"/>
      <c r="P120" s="68"/>
      <c r="Q120" s="68"/>
      <c r="R120" s="68"/>
      <c r="S120" s="68"/>
    </row>
    <row r="121" spans="1:19" ht="12.75" hidden="1">
      <c r="A121" s="17"/>
      <c r="B121" s="66"/>
      <c r="C121" s="41" t="s">
        <v>4</v>
      </c>
      <c r="D121" s="67" t="s">
        <v>5</v>
      </c>
      <c r="E121" s="79">
        <f>45</f>
        <v>45</v>
      </c>
      <c r="F121" s="93">
        <f>E121+SUM(G121:Q121)</f>
        <v>21</v>
      </c>
      <c r="G121" s="68"/>
      <c r="H121" s="68"/>
      <c r="I121" s="70"/>
      <c r="J121" s="68"/>
      <c r="K121" s="68"/>
      <c r="L121" s="68"/>
      <c r="M121" s="68"/>
      <c r="N121" s="168"/>
      <c r="O121" s="68">
        <v>-24</v>
      </c>
      <c r="P121" s="68"/>
      <c r="Q121" s="68"/>
      <c r="R121" s="68"/>
      <c r="S121" s="68"/>
    </row>
    <row r="122" spans="1:19" ht="12.75" hidden="1">
      <c r="A122" s="17"/>
      <c r="B122" s="66" t="s">
        <v>428</v>
      </c>
      <c r="C122" s="41"/>
      <c r="D122" s="105" t="s">
        <v>96</v>
      </c>
      <c r="E122" s="79">
        <f>E123</f>
        <v>85</v>
      </c>
      <c r="F122" s="79">
        <f aca="true" t="shared" si="48" ref="F122:S122">F123</f>
        <v>85</v>
      </c>
      <c r="G122" s="68">
        <f t="shared" si="48"/>
        <v>0</v>
      </c>
      <c r="H122" s="68">
        <f t="shared" si="48"/>
        <v>0</v>
      </c>
      <c r="I122" s="70">
        <f t="shared" si="48"/>
        <v>0</v>
      </c>
      <c r="J122" s="68">
        <f t="shared" si="48"/>
        <v>0</v>
      </c>
      <c r="K122" s="68">
        <f t="shared" si="48"/>
        <v>0</v>
      </c>
      <c r="L122" s="68">
        <f t="shared" si="48"/>
        <v>0</v>
      </c>
      <c r="M122" s="68">
        <f t="shared" si="48"/>
        <v>0</v>
      </c>
      <c r="N122" s="168">
        <f t="shared" si="48"/>
        <v>0</v>
      </c>
      <c r="O122" s="68">
        <f t="shared" si="48"/>
        <v>0</v>
      </c>
      <c r="P122" s="68">
        <f t="shared" si="48"/>
        <v>0</v>
      </c>
      <c r="Q122" s="68">
        <f t="shared" si="48"/>
        <v>0</v>
      </c>
      <c r="R122" s="68">
        <f t="shared" si="48"/>
        <v>0</v>
      </c>
      <c r="S122" s="68">
        <f t="shared" si="48"/>
        <v>0</v>
      </c>
    </row>
    <row r="123" spans="1:19" ht="25.5" hidden="1">
      <c r="A123" s="17"/>
      <c r="B123" s="66"/>
      <c r="C123" s="41" t="s">
        <v>3</v>
      </c>
      <c r="D123" s="67" t="s">
        <v>95</v>
      </c>
      <c r="E123" s="79">
        <f>85</f>
        <v>85</v>
      </c>
      <c r="F123" s="93">
        <f>E123+SUM(G123:Q123)</f>
        <v>85</v>
      </c>
      <c r="G123" s="68"/>
      <c r="H123" s="68"/>
      <c r="I123" s="70"/>
      <c r="J123" s="68"/>
      <c r="K123" s="68"/>
      <c r="L123" s="68"/>
      <c r="M123" s="68"/>
      <c r="N123" s="168"/>
      <c r="O123" s="68"/>
      <c r="P123" s="68"/>
      <c r="Q123" s="68"/>
      <c r="R123" s="68"/>
      <c r="S123" s="68"/>
    </row>
    <row r="124" spans="1:19" ht="25.5" hidden="1">
      <c r="A124" s="17"/>
      <c r="B124" s="86" t="s">
        <v>429</v>
      </c>
      <c r="C124" s="56"/>
      <c r="D124" s="105" t="s">
        <v>105</v>
      </c>
      <c r="E124" s="79">
        <f>E125</f>
        <v>309.2</v>
      </c>
      <c r="F124" s="79">
        <f aca="true" t="shared" si="49" ref="F124:S124">F125</f>
        <v>309.2</v>
      </c>
      <c r="G124" s="79">
        <f t="shared" si="49"/>
        <v>0</v>
      </c>
      <c r="H124" s="79">
        <f t="shared" si="49"/>
        <v>0</v>
      </c>
      <c r="I124" s="96">
        <f t="shared" si="49"/>
        <v>0</v>
      </c>
      <c r="J124" s="79">
        <f t="shared" si="49"/>
        <v>0</v>
      </c>
      <c r="K124" s="79">
        <f t="shared" si="49"/>
        <v>0</v>
      </c>
      <c r="L124" s="79">
        <f t="shared" si="49"/>
        <v>0</v>
      </c>
      <c r="M124" s="79">
        <f t="shared" si="49"/>
        <v>0</v>
      </c>
      <c r="N124" s="170">
        <f t="shared" si="49"/>
        <v>0</v>
      </c>
      <c r="O124" s="79">
        <f t="shared" si="49"/>
        <v>0</v>
      </c>
      <c r="P124" s="79">
        <f t="shared" si="49"/>
        <v>0</v>
      </c>
      <c r="Q124" s="79">
        <f t="shared" si="49"/>
        <v>0</v>
      </c>
      <c r="R124" s="79">
        <f t="shared" si="49"/>
        <v>0</v>
      </c>
      <c r="S124" s="79">
        <f t="shared" si="49"/>
        <v>0</v>
      </c>
    </row>
    <row r="125" spans="1:19" ht="12.75" hidden="1">
      <c r="A125" s="17"/>
      <c r="B125" s="66"/>
      <c r="C125" s="41" t="s">
        <v>6</v>
      </c>
      <c r="D125" s="67" t="s">
        <v>7</v>
      </c>
      <c r="E125" s="79">
        <f>309.2</f>
        <v>309.2</v>
      </c>
      <c r="F125" s="93">
        <f>E125+SUM(G125:Q125)</f>
        <v>309.2</v>
      </c>
      <c r="G125" s="68"/>
      <c r="H125" s="68"/>
      <c r="I125" s="70"/>
      <c r="J125" s="68"/>
      <c r="K125" s="68"/>
      <c r="L125" s="68"/>
      <c r="M125" s="68"/>
      <c r="N125" s="168"/>
      <c r="O125" s="68"/>
      <c r="P125" s="68"/>
      <c r="Q125" s="68"/>
      <c r="R125" s="68"/>
      <c r="S125" s="68"/>
    </row>
    <row r="126" spans="1:19" ht="25.5" hidden="1">
      <c r="A126" s="17"/>
      <c r="B126" s="66" t="s">
        <v>548</v>
      </c>
      <c r="C126" s="41"/>
      <c r="D126" s="67" t="s">
        <v>470</v>
      </c>
      <c r="E126" s="79">
        <f>E127</f>
        <v>0</v>
      </c>
      <c r="F126" s="79">
        <f aca="true" t="shared" si="50" ref="F126:S126">F127</f>
        <v>30</v>
      </c>
      <c r="G126" s="79">
        <f t="shared" si="50"/>
        <v>0</v>
      </c>
      <c r="H126" s="79">
        <f t="shared" si="50"/>
        <v>0</v>
      </c>
      <c r="I126" s="79">
        <f t="shared" si="50"/>
        <v>0</v>
      </c>
      <c r="J126" s="79">
        <f t="shared" si="50"/>
        <v>0</v>
      </c>
      <c r="K126" s="79">
        <f t="shared" si="50"/>
        <v>0</v>
      </c>
      <c r="L126" s="79">
        <f t="shared" si="50"/>
        <v>0</v>
      </c>
      <c r="M126" s="79">
        <f t="shared" si="50"/>
        <v>0</v>
      </c>
      <c r="N126" s="170">
        <f t="shared" si="50"/>
        <v>30</v>
      </c>
      <c r="O126" s="79">
        <f t="shared" si="50"/>
        <v>0</v>
      </c>
      <c r="P126" s="79">
        <f t="shared" si="50"/>
        <v>0</v>
      </c>
      <c r="Q126" s="79">
        <f t="shared" si="50"/>
        <v>0</v>
      </c>
      <c r="R126" s="79">
        <f t="shared" si="50"/>
        <v>0</v>
      </c>
      <c r="S126" s="79">
        <f t="shared" si="50"/>
        <v>0</v>
      </c>
    </row>
    <row r="127" spans="1:19" ht="25.5" hidden="1">
      <c r="A127" s="17"/>
      <c r="B127" s="66"/>
      <c r="C127" s="41" t="s">
        <v>11</v>
      </c>
      <c r="D127" s="67" t="s">
        <v>12</v>
      </c>
      <c r="E127" s="79"/>
      <c r="F127" s="93">
        <f>E127+SUM(G127:Q127)</f>
        <v>30</v>
      </c>
      <c r="G127" s="68"/>
      <c r="H127" s="68"/>
      <c r="I127" s="70"/>
      <c r="J127" s="68"/>
      <c r="K127" s="68"/>
      <c r="L127" s="68"/>
      <c r="M127" s="68"/>
      <c r="N127" s="168">
        <v>30</v>
      </c>
      <c r="O127" s="68"/>
      <c r="P127" s="68"/>
      <c r="Q127" s="68"/>
      <c r="R127" s="68"/>
      <c r="S127" s="68"/>
    </row>
    <row r="128" spans="1:19" ht="25.5" hidden="1">
      <c r="A128" s="17"/>
      <c r="B128" s="66" t="s">
        <v>469</v>
      </c>
      <c r="C128" s="41"/>
      <c r="D128" s="67" t="s">
        <v>470</v>
      </c>
      <c r="E128" s="79">
        <f>E129</f>
        <v>0</v>
      </c>
      <c r="F128" s="79">
        <f aca="true" t="shared" si="51" ref="F128:S128">F129</f>
        <v>72.115</v>
      </c>
      <c r="G128" s="79">
        <f t="shared" si="51"/>
        <v>0</v>
      </c>
      <c r="H128" s="79">
        <f t="shared" si="51"/>
        <v>0</v>
      </c>
      <c r="I128" s="79">
        <f t="shared" si="51"/>
        <v>0</v>
      </c>
      <c r="J128" s="79">
        <f t="shared" si="51"/>
        <v>0</v>
      </c>
      <c r="K128" s="79">
        <f t="shared" si="51"/>
        <v>0</v>
      </c>
      <c r="L128" s="79">
        <f t="shared" si="51"/>
        <v>0</v>
      </c>
      <c r="M128" s="79">
        <f t="shared" si="51"/>
        <v>72.115</v>
      </c>
      <c r="N128" s="170">
        <f t="shared" si="51"/>
        <v>0</v>
      </c>
      <c r="O128" s="79">
        <f t="shared" si="51"/>
        <v>0</v>
      </c>
      <c r="P128" s="79">
        <f t="shared" si="51"/>
        <v>0</v>
      </c>
      <c r="Q128" s="79">
        <f t="shared" si="51"/>
        <v>0</v>
      </c>
      <c r="R128" s="79">
        <f t="shared" si="51"/>
        <v>0</v>
      </c>
      <c r="S128" s="79">
        <f t="shared" si="51"/>
        <v>0</v>
      </c>
    </row>
    <row r="129" spans="1:19" ht="25.5" hidden="1">
      <c r="A129" s="17"/>
      <c r="B129" s="66"/>
      <c r="C129" s="41" t="s">
        <v>11</v>
      </c>
      <c r="D129" s="67" t="s">
        <v>12</v>
      </c>
      <c r="E129" s="79"/>
      <c r="F129" s="93">
        <f>E129+SUM(G129:Q129)</f>
        <v>72.115</v>
      </c>
      <c r="G129" s="68"/>
      <c r="H129" s="68"/>
      <c r="I129" s="70"/>
      <c r="J129" s="68"/>
      <c r="K129" s="68"/>
      <c r="L129" s="68"/>
      <c r="M129" s="68">
        <v>72.115</v>
      </c>
      <c r="N129" s="168"/>
      <c r="O129" s="68"/>
      <c r="P129" s="68"/>
      <c r="Q129" s="68"/>
      <c r="R129" s="68"/>
      <c r="S129" s="68"/>
    </row>
    <row r="130" spans="1:19" s="25" customFormat="1" ht="24">
      <c r="A130" s="5" t="s">
        <v>40</v>
      </c>
      <c r="B130" s="18"/>
      <c r="C130" s="17"/>
      <c r="D130" s="20" t="s">
        <v>41</v>
      </c>
      <c r="E130" s="119">
        <f>E131+E154+E166</f>
        <v>1838.9</v>
      </c>
      <c r="F130" s="119">
        <f aca="true" t="shared" si="52" ref="F130:Q130">F131+F154+F166</f>
        <v>2164.7</v>
      </c>
      <c r="G130" s="119">
        <f t="shared" si="52"/>
        <v>0</v>
      </c>
      <c r="H130" s="119">
        <f t="shared" si="52"/>
        <v>0</v>
      </c>
      <c r="I130" s="119">
        <f t="shared" si="52"/>
        <v>0</v>
      </c>
      <c r="J130" s="119">
        <f t="shared" si="52"/>
        <v>0</v>
      </c>
      <c r="K130" s="119">
        <f t="shared" si="52"/>
        <v>0</v>
      </c>
      <c r="L130" s="119">
        <f t="shared" si="52"/>
        <v>96</v>
      </c>
      <c r="M130" s="119">
        <f t="shared" si="52"/>
        <v>0</v>
      </c>
      <c r="N130" s="171">
        <f t="shared" si="52"/>
        <v>0</v>
      </c>
      <c r="O130" s="119">
        <f t="shared" si="52"/>
        <v>229.8</v>
      </c>
      <c r="P130" s="119">
        <f t="shared" si="52"/>
        <v>0</v>
      </c>
      <c r="Q130" s="119">
        <f t="shared" si="52"/>
        <v>0</v>
      </c>
      <c r="R130" s="119">
        <f>R131+R154+R166</f>
        <v>-96</v>
      </c>
      <c r="S130" s="119">
        <f>S131+S154+S166</f>
        <v>0</v>
      </c>
    </row>
    <row r="131" spans="1:19" s="25" customFormat="1" ht="36">
      <c r="A131" s="5" t="s">
        <v>42</v>
      </c>
      <c r="B131" s="18"/>
      <c r="C131" s="17"/>
      <c r="D131" s="20" t="s">
        <v>43</v>
      </c>
      <c r="E131" s="119">
        <f>E132</f>
        <v>1438.9</v>
      </c>
      <c r="F131" s="119">
        <f aca="true" t="shared" si="53" ref="F131:S131">F132</f>
        <v>1398.9</v>
      </c>
      <c r="G131" s="119">
        <f t="shared" si="53"/>
        <v>0</v>
      </c>
      <c r="H131" s="119">
        <f t="shared" si="53"/>
        <v>0</v>
      </c>
      <c r="I131" s="121">
        <f t="shared" si="53"/>
        <v>0</v>
      </c>
      <c r="J131" s="119">
        <f t="shared" si="53"/>
        <v>0</v>
      </c>
      <c r="K131" s="119">
        <f t="shared" si="53"/>
        <v>0</v>
      </c>
      <c r="L131" s="119">
        <f t="shared" si="53"/>
        <v>-39</v>
      </c>
      <c r="M131" s="119">
        <f t="shared" si="53"/>
        <v>0</v>
      </c>
      <c r="N131" s="171">
        <f t="shared" si="53"/>
        <v>0</v>
      </c>
      <c r="O131" s="119">
        <f t="shared" si="53"/>
        <v>-1</v>
      </c>
      <c r="P131" s="119">
        <f t="shared" si="53"/>
        <v>0</v>
      </c>
      <c r="Q131" s="119">
        <f t="shared" si="53"/>
        <v>0</v>
      </c>
      <c r="R131" s="119">
        <f t="shared" si="53"/>
        <v>-96</v>
      </c>
      <c r="S131" s="119">
        <f t="shared" si="53"/>
        <v>0</v>
      </c>
    </row>
    <row r="132" spans="1:19" s="25" customFormat="1" ht="38.25">
      <c r="A132" s="5"/>
      <c r="B132" s="63" t="s">
        <v>200</v>
      </c>
      <c r="C132" s="11"/>
      <c r="D132" s="60" t="s">
        <v>114</v>
      </c>
      <c r="E132" s="95">
        <f>E133+E146</f>
        <v>1438.9</v>
      </c>
      <c r="F132" s="95">
        <f aca="true" t="shared" si="54" ref="F132:Q132">F133+F146</f>
        <v>1398.9</v>
      </c>
      <c r="G132" s="95">
        <f t="shared" si="54"/>
        <v>0</v>
      </c>
      <c r="H132" s="95">
        <f t="shared" si="54"/>
        <v>0</v>
      </c>
      <c r="I132" s="131">
        <f t="shared" si="54"/>
        <v>0</v>
      </c>
      <c r="J132" s="95">
        <f t="shared" si="54"/>
        <v>0</v>
      </c>
      <c r="K132" s="95">
        <f t="shared" si="54"/>
        <v>0</v>
      </c>
      <c r="L132" s="95">
        <f t="shared" si="54"/>
        <v>-39</v>
      </c>
      <c r="M132" s="95">
        <f t="shared" si="54"/>
        <v>0</v>
      </c>
      <c r="N132" s="169">
        <f t="shared" si="54"/>
        <v>0</v>
      </c>
      <c r="O132" s="95">
        <f t="shared" si="54"/>
        <v>-1</v>
      </c>
      <c r="P132" s="95">
        <f t="shared" si="54"/>
        <v>0</v>
      </c>
      <c r="Q132" s="95">
        <f t="shared" si="54"/>
        <v>0</v>
      </c>
      <c r="R132" s="95">
        <f>R133+R146</f>
        <v>-96</v>
      </c>
      <c r="S132" s="95">
        <f>S133+S146</f>
        <v>0</v>
      </c>
    </row>
    <row r="133" spans="1:19" s="25" customFormat="1" ht="71.25" customHeight="1">
      <c r="A133" s="5"/>
      <c r="B133" s="82" t="s">
        <v>201</v>
      </c>
      <c r="C133" s="41"/>
      <c r="D133" s="61" t="s">
        <v>515</v>
      </c>
      <c r="E133" s="79">
        <f>E134+E141</f>
        <v>1303.9</v>
      </c>
      <c r="F133" s="79">
        <f>F134+F141</f>
        <v>1398.9</v>
      </c>
      <c r="G133" s="68">
        <f aca="true" t="shared" si="55" ref="G133:Q133">G134+G141</f>
        <v>0</v>
      </c>
      <c r="H133" s="68">
        <f t="shared" si="55"/>
        <v>0</v>
      </c>
      <c r="I133" s="70">
        <f t="shared" si="55"/>
        <v>0</v>
      </c>
      <c r="J133" s="68">
        <f t="shared" si="55"/>
        <v>0</v>
      </c>
      <c r="K133" s="68">
        <f t="shared" si="55"/>
        <v>0</v>
      </c>
      <c r="L133" s="68">
        <f t="shared" si="55"/>
        <v>96</v>
      </c>
      <c r="M133" s="68">
        <f t="shared" si="55"/>
        <v>0</v>
      </c>
      <c r="N133" s="168">
        <f t="shared" si="55"/>
        <v>0</v>
      </c>
      <c r="O133" s="68">
        <f t="shared" si="55"/>
        <v>-1</v>
      </c>
      <c r="P133" s="68">
        <f t="shared" si="55"/>
        <v>0</v>
      </c>
      <c r="Q133" s="68">
        <f t="shared" si="55"/>
        <v>0</v>
      </c>
      <c r="R133" s="68">
        <f>R134+R141</f>
        <v>-96</v>
      </c>
      <c r="S133" s="68">
        <f>S134+S141</f>
        <v>0</v>
      </c>
    </row>
    <row r="134" spans="1:19" s="25" customFormat="1" ht="59.25" customHeight="1">
      <c r="A134" s="5"/>
      <c r="B134" s="66" t="s">
        <v>202</v>
      </c>
      <c r="C134" s="41"/>
      <c r="D134" s="57" t="s">
        <v>203</v>
      </c>
      <c r="E134" s="79">
        <f>E135+E137+E139</f>
        <v>1303.9</v>
      </c>
      <c r="F134" s="79">
        <f>F135+F137+F139</f>
        <v>1398.9</v>
      </c>
      <c r="G134" s="68">
        <f aca="true" t="shared" si="56" ref="G134:Q134">G135+G137+G139</f>
        <v>0</v>
      </c>
      <c r="H134" s="68">
        <f t="shared" si="56"/>
        <v>0</v>
      </c>
      <c r="I134" s="70">
        <f t="shared" si="56"/>
        <v>0</v>
      </c>
      <c r="J134" s="68">
        <f t="shared" si="56"/>
        <v>0</v>
      </c>
      <c r="K134" s="68">
        <f t="shared" si="56"/>
        <v>0</v>
      </c>
      <c r="L134" s="68">
        <f t="shared" si="56"/>
        <v>96</v>
      </c>
      <c r="M134" s="68">
        <f t="shared" si="56"/>
        <v>0</v>
      </c>
      <c r="N134" s="168">
        <f t="shared" si="56"/>
        <v>0</v>
      </c>
      <c r="O134" s="68">
        <f t="shared" si="56"/>
        <v>-1</v>
      </c>
      <c r="P134" s="68">
        <f t="shared" si="56"/>
        <v>0</v>
      </c>
      <c r="Q134" s="68">
        <f t="shared" si="56"/>
        <v>0</v>
      </c>
      <c r="R134" s="68">
        <f>R135+R137+R139</f>
        <v>-96</v>
      </c>
      <c r="S134" s="68">
        <f>S135+S137+S139</f>
        <v>0</v>
      </c>
    </row>
    <row r="135" spans="1:19" s="25" customFormat="1" ht="48" customHeight="1" hidden="1">
      <c r="A135" s="5"/>
      <c r="B135" s="66" t="s">
        <v>204</v>
      </c>
      <c r="C135" s="41"/>
      <c r="D135" s="57" t="s">
        <v>205</v>
      </c>
      <c r="E135" s="79">
        <f>E136</f>
        <v>3.9</v>
      </c>
      <c r="F135" s="79">
        <f aca="true" t="shared" si="57" ref="F135:S135">F136</f>
        <v>2.9</v>
      </c>
      <c r="G135" s="68">
        <f t="shared" si="57"/>
        <v>0</v>
      </c>
      <c r="H135" s="68">
        <f t="shared" si="57"/>
        <v>0</v>
      </c>
      <c r="I135" s="70">
        <f t="shared" si="57"/>
        <v>0</v>
      </c>
      <c r="J135" s="68">
        <f t="shared" si="57"/>
        <v>0</v>
      </c>
      <c r="K135" s="68">
        <f t="shared" si="57"/>
        <v>0</v>
      </c>
      <c r="L135" s="68">
        <f t="shared" si="57"/>
        <v>0</v>
      </c>
      <c r="M135" s="68">
        <f t="shared" si="57"/>
        <v>0</v>
      </c>
      <c r="N135" s="168">
        <f t="shared" si="57"/>
        <v>0</v>
      </c>
      <c r="O135" s="68">
        <f t="shared" si="57"/>
        <v>-1</v>
      </c>
      <c r="P135" s="68">
        <f t="shared" si="57"/>
        <v>0</v>
      </c>
      <c r="Q135" s="68">
        <f t="shared" si="57"/>
        <v>0</v>
      </c>
      <c r="R135" s="68">
        <f t="shared" si="57"/>
        <v>0</v>
      </c>
      <c r="S135" s="68">
        <f t="shared" si="57"/>
        <v>0</v>
      </c>
    </row>
    <row r="136" spans="1:19" s="21" customFormat="1" ht="28.5" customHeight="1" hidden="1">
      <c r="A136" s="17"/>
      <c r="B136" s="66"/>
      <c r="C136" s="41" t="s">
        <v>3</v>
      </c>
      <c r="D136" s="67" t="s">
        <v>95</v>
      </c>
      <c r="E136" s="79">
        <f>3.9</f>
        <v>3.9</v>
      </c>
      <c r="F136" s="93">
        <f>E136+SUM(G136:Q136)</f>
        <v>2.9</v>
      </c>
      <c r="G136" s="68"/>
      <c r="H136" s="68"/>
      <c r="I136" s="153"/>
      <c r="J136" s="69"/>
      <c r="K136" s="68"/>
      <c r="L136" s="68"/>
      <c r="M136" s="68"/>
      <c r="N136" s="168"/>
      <c r="O136" s="68">
        <f>-1</f>
        <v>-1</v>
      </c>
      <c r="P136" s="68"/>
      <c r="Q136" s="68"/>
      <c r="R136" s="68"/>
      <c r="S136" s="68"/>
    </row>
    <row r="137" spans="1:19" s="21" customFormat="1" ht="47.25" customHeight="1" hidden="1">
      <c r="A137" s="17"/>
      <c r="B137" s="66" t="s">
        <v>206</v>
      </c>
      <c r="C137" s="41"/>
      <c r="D137" s="83" t="s">
        <v>207</v>
      </c>
      <c r="E137" s="79">
        <f>E138</f>
        <v>0</v>
      </c>
      <c r="F137" s="79">
        <f aca="true" t="shared" si="58" ref="F137:S137">F138</f>
        <v>0</v>
      </c>
      <c r="G137" s="68">
        <f t="shared" si="58"/>
        <v>0</v>
      </c>
      <c r="H137" s="68">
        <f t="shared" si="58"/>
        <v>0</v>
      </c>
      <c r="I137" s="70">
        <f t="shared" si="58"/>
        <v>0</v>
      </c>
      <c r="J137" s="68">
        <f t="shared" si="58"/>
        <v>0</v>
      </c>
      <c r="K137" s="68">
        <f t="shared" si="58"/>
        <v>0</v>
      </c>
      <c r="L137" s="68">
        <f t="shared" si="58"/>
        <v>0</v>
      </c>
      <c r="M137" s="68">
        <f t="shared" si="58"/>
        <v>0</v>
      </c>
      <c r="N137" s="168">
        <f t="shared" si="58"/>
        <v>0</v>
      </c>
      <c r="O137" s="68">
        <f t="shared" si="58"/>
        <v>0</v>
      </c>
      <c r="P137" s="68">
        <f t="shared" si="58"/>
        <v>0</v>
      </c>
      <c r="Q137" s="68">
        <f t="shared" si="58"/>
        <v>0</v>
      </c>
      <c r="R137" s="68">
        <f t="shared" si="58"/>
        <v>0</v>
      </c>
      <c r="S137" s="68">
        <f t="shared" si="58"/>
        <v>0</v>
      </c>
    </row>
    <row r="138" spans="1:19" s="21" customFormat="1" ht="36" customHeight="1" hidden="1">
      <c r="A138" s="17"/>
      <c r="B138" s="66"/>
      <c r="C138" s="41" t="s">
        <v>3</v>
      </c>
      <c r="D138" s="67" t="s">
        <v>95</v>
      </c>
      <c r="E138" s="79"/>
      <c r="F138" s="93">
        <f>E138+SUM(G138:Q138)</f>
        <v>0</v>
      </c>
      <c r="G138" s="68"/>
      <c r="H138" s="68"/>
      <c r="I138" s="153"/>
      <c r="J138" s="69"/>
      <c r="K138" s="68"/>
      <c r="L138" s="68"/>
      <c r="M138" s="68"/>
      <c r="N138" s="168"/>
      <c r="O138" s="68"/>
      <c r="P138" s="68"/>
      <c r="Q138" s="68"/>
      <c r="R138" s="68"/>
      <c r="S138" s="68"/>
    </row>
    <row r="139" spans="1:19" s="21" customFormat="1" ht="76.5">
      <c r="A139" s="17"/>
      <c r="B139" s="66" t="s">
        <v>492</v>
      </c>
      <c r="C139" s="41"/>
      <c r="D139" s="67" t="s">
        <v>493</v>
      </c>
      <c r="E139" s="79">
        <f>E140</f>
        <v>1300</v>
      </c>
      <c r="F139" s="79">
        <f aca="true" t="shared" si="59" ref="F139:S139">F140</f>
        <v>1396</v>
      </c>
      <c r="G139" s="68">
        <f t="shared" si="59"/>
        <v>0</v>
      </c>
      <c r="H139" s="68">
        <f t="shared" si="59"/>
        <v>0</v>
      </c>
      <c r="I139" s="70">
        <f t="shared" si="59"/>
        <v>0</v>
      </c>
      <c r="J139" s="68">
        <f t="shared" si="59"/>
        <v>0</v>
      </c>
      <c r="K139" s="68">
        <f t="shared" si="59"/>
        <v>0</v>
      </c>
      <c r="L139" s="68">
        <f t="shared" si="59"/>
        <v>96</v>
      </c>
      <c r="M139" s="68">
        <f t="shared" si="59"/>
        <v>0</v>
      </c>
      <c r="N139" s="168">
        <f t="shared" si="59"/>
        <v>0</v>
      </c>
      <c r="O139" s="68">
        <f t="shared" si="59"/>
        <v>0</v>
      </c>
      <c r="P139" s="68">
        <f t="shared" si="59"/>
        <v>0</v>
      </c>
      <c r="Q139" s="68">
        <f t="shared" si="59"/>
        <v>0</v>
      </c>
      <c r="R139" s="68">
        <f t="shared" si="59"/>
        <v>-96</v>
      </c>
      <c r="S139" s="68">
        <f t="shared" si="59"/>
        <v>0</v>
      </c>
    </row>
    <row r="140" spans="1:19" s="21" customFormat="1" ht="27.75" customHeight="1">
      <c r="A140" s="17"/>
      <c r="B140" s="66"/>
      <c r="C140" s="41" t="s">
        <v>9</v>
      </c>
      <c r="D140" s="109" t="s">
        <v>37</v>
      </c>
      <c r="E140" s="79">
        <v>1300</v>
      </c>
      <c r="F140" s="93">
        <f>E140+SUM(G140:Q140)</f>
        <v>1396</v>
      </c>
      <c r="G140" s="68"/>
      <c r="H140" s="68"/>
      <c r="I140" s="153"/>
      <c r="J140" s="69"/>
      <c r="K140" s="68"/>
      <c r="L140" s="68">
        <f>96</f>
        <v>96</v>
      </c>
      <c r="M140" s="68"/>
      <c r="N140" s="168"/>
      <c r="O140" s="68"/>
      <c r="P140" s="68"/>
      <c r="Q140" s="68"/>
      <c r="R140" s="68">
        <v>-96</v>
      </c>
      <c r="S140" s="68"/>
    </row>
    <row r="141" spans="1:19" s="21" customFormat="1" ht="27.75" customHeight="1" hidden="1">
      <c r="A141" s="17"/>
      <c r="B141" s="66" t="s">
        <v>208</v>
      </c>
      <c r="C141" s="41"/>
      <c r="D141" s="109" t="s">
        <v>210</v>
      </c>
      <c r="E141" s="79">
        <f>E142+E144</f>
        <v>0</v>
      </c>
      <c r="F141" s="79">
        <f aca="true" t="shared" si="60" ref="F141:Q141">F142+F144</f>
        <v>0</v>
      </c>
      <c r="G141" s="79">
        <f t="shared" si="60"/>
        <v>0</v>
      </c>
      <c r="H141" s="79">
        <f t="shared" si="60"/>
        <v>0</v>
      </c>
      <c r="I141" s="96">
        <f t="shared" si="60"/>
        <v>0</v>
      </c>
      <c r="J141" s="79">
        <f t="shared" si="60"/>
        <v>0</v>
      </c>
      <c r="K141" s="79">
        <f t="shared" si="60"/>
        <v>0</v>
      </c>
      <c r="L141" s="79">
        <f t="shared" si="60"/>
        <v>0</v>
      </c>
      <c r="M141" s="79">
        <f t="shared" si="60"/>
        <v>0</v>
      </c>
      <c r="N141" s="170">
        <f t="shared" si="60"/>
        <v>0</v>
      </c>
      <c r="O141" s="79">
        <f t="shared" si="60"/>
        <v>0</v>
      </c>
      <c r="P141" s="79">
        <f t="shared" si="60"/>
        <v>0</v>
      </c>
      <c r="Q141" s="79">
        <f t="shared" si="60"/>
        <v>0</v>
      </c>
      <c r="R141" s="79">
        <f>R142+R144</f>
        <v>0</v>
      </c>
      <c r="S141" s="79">
        <f>S142+S144</f>
        <v>0</v>
      </c>
    </row>
    <row r="142" spans="1:19" s="21" customFormat="1" ht="27.75" customHeight="1" hidden="1">
      <c r="A142" s="17"/>
      <c r="B142" s="66" t="s">
        <v>209</v>
      </c>
      <c r="C142" s="41"/>
      <c r="D142" s="109" t="s">
        <v>211</v>
      </c>
      <c r="E142" s="79">
        <f>E143</f>
        <v>0</v>
      </c>
      <c r="F142" s="79">
        <f aca="true" t="shared" si="61" ref="F142:S142">F143</f>
        <v>0</v>
      </c>
      <c r="G142" s="68">
        <f t="shared" si="61"/>
        <v>0</v>
      </c>
      <c r="H142" s="68">
        <f t="shared" si="61"/>
        <v>0</v>
      </c>
      <c r="I142" s="70">
        <f t="shared" si="61"/>
        <v>0</v>
      </c>
      <c r="J142" s="68">
        <f t="shared" si="61"/>
        <v>0</v>
      </c>
      <c r="K142" s="68">
        <f t="shared" si="61"/>
        <v>0</v>
      </c>
      <c r="L142" s="68">
        <f t="shared" si="61"/>
        <v>0</v>
      </c>
      <c r="M142" s="68">
        <f t="shared" si="61"/>
        <v>0</v>
      </c>
      <c r="N142" s="168">
        <f t="shared" si="61"/>
        <v>0</v>
      </c>
      <c r="O142" s="68">
        <f t="shared" si="61"/>
        <v>0</v>
      </c>
      <c r="P142" s="68">
        <f t="shared" si="61"/>
        <v>0</v>
      </c>
      <c r="Q142" s="68">
        <f t="shared" si="61"/>
        <v>0</v>
      </c>
      <c r="R142" s="68">
        <f t="shared" si="61"/>
        <v>0</v>
      </c>
      <c r="S142" s="68">
        <f t="shared" si="61"/>
        <v>0</v>
      </c>
    </row>
    <row r="143" spans="1:19" s="21" customFormat="1" ht="27.75" customHeight="1" hidden="1">
      <c r="A143" s="17"/>
      <c r="B143" s="66"/>
      <c r="C143" s="41" t="s">
        <v>3</v>
      </c>
      <c r="D143" s="67" t="s">
        <v>95</v>
      </c>
      <c r="E143" s="79"/>
      <c r="F143" s="93">
        <f>E143+SUM(G143:Q143)</f>
        <v>0</v>
      </c>
      <c r="G143" s="68"/>
      <c r="H143" s="68"/>
      <c r="I143" s="153"/>
      <c r="J143" s="69"/>
      <c r="K143" s="68"/>
      <c r="L143" s="68"/>
      <c r="M143" s="68"/>
      <c r="N143" s="168"/>
      <c r="O143" s="68"/>
      <c r="P143" s="68"/>
      <c r="Q143" s="68"/>
      <c r="R143" s="68"/>
      <c r="S143" s="68"/>
    </row>
    <row r="144" spans="1:19" s="25" customFormat="1" ht="25.5" hidden="1">
      <c r="A144" s="17"/>
      <c r="B144" s="66" t="s">
        <v>212</v>
      </c>
      <c r="C144" s="41"/>
      <c r="D144" s="67" t="s">
        <v>213</v>
      </c>
      <c r="E144" s="79">
        <f aca="true" t="shared" si="62" ref="E144:S144">E145</f>
        <v>0</v>
      </c>
      <c r="F144" s="79">
        <f t="shared" si="62"/>
        <v>0</v>
      </c>
      <c r="G144" s="68">
        <f t="shared" si="62"/>
        <v>0</v>
      </c>
      <c r="H144" s="68">
        <f t="shared" si="62"/>
        <v>0</v>
      </c>
      <c r="I144" s="70">
        <f t="shared" si="62"/>
        <v>0</v>
      </c>
      <c r="J144" s="68">
        <f t="shared" si="62"/>
        <v>0</v>
      </c>
      <c r="K144" s="68">
        <f t="shared" si="62"/>
        <v>0</v>
      </c>
      <c r="L144" s="68">
        <f t="shared" si="62"/>
        <v>0</v>
      </c>
      <c r="M144" s="68">
        <f t="shared" si="62"/>
        <v>0</v>
      </c>
      <c r="N144" s="168">
        <f t="shared" si="62"/>
        <v>0</v>
      </c>
      <c r="O144" s="68">
        <f t="shared" si="62"/>
        <v>0</v>
      </c>
      <c r="P144" s="68">
        <f t="shared" si="62"/>
        <v>0</v>
      </c>
      <c r="Q144" s="68">
        <f t="shared" si="62"/>
        <v>0</v>
      </c>
      <c r="R144" s="68">
        <f t="shared" si="62"/>
        <v>0</v>
      </c>
      <c r="S144" s="68">
        <f t="shared" si="62"/>
        <v>0</v>
      </c>
    </row>
    <row r="145" spans="1:19" s="25" customFormat="1" ht="25.5" hidden="1">
      <c r="A145" s="17"/>
      <c r="B145" s="66"/>
      <c r="C145" s="41" t="s">
        <v>3</v>
      </c>
      <c r="D145" s="67" t="s">
        <v>95</v>
      </c>
      <c r="E145" s="79"/>
      <c r="F145" s="93">
        <f>E145+SUM(G145:Q145)</f>
        <v>0</v>
      </c>
      <c r="G145" s="68"/>
      <c r="H145" s="68"/>
      <c r="I145" s="153"/>
      <c r="J145" s="69"/>
      <c r="K145" s="68"/>
      <c r="L145" s="68"/>
      <c r="M145" s="68"/>
      <c r="N145" s="168"/>
      <c r="O145" s="68"/>
      <c r="P145" s="68"/>
      <c r="Q145" s="68"/>
      <c r="R145" s="68"/>
      <c r="S145" s="68"/>
    </row>
    <row r="146" spans="1:19" s="25" customFormat="1" ht="25.5" hidden="1">
      <c r="A146" s="17"/>
      <c r="B146" s="162" t="s">
        <v>495</v>
      </c>
      <c r="C146" s="136"/>
      <c r="D146" s="137" t="s">
        <v>494</v>
      </c>
      <c r="E146" s="79">
        <f>E147</f>
        <v>135</v>
      </c>
      <c r="F146" s="79">
        <f aca="true" t="shared" si="63" ref="F146:S146">F147</f>
        <v>0</v>
      </c>
      <c r="G146" s="79">
        <f t="shared" si="63"/>
        <v>0</v>
      </c>
      <c r="H146" s="79">
        <f t="shared" si="63"/>
        <v>0</v>
      </c>
      <c r="I146" s="96">
        <f t="shared" si="63"/>
        <v>0</v>
      </c>
      <c r="J146" s="79">
        <f t="shared" si="63"/>
        <v>0</v>
      </c>
      <c r="K146" s="79">
        <f t="shared" si="63"/>
        <v>0</v>
      </c>
      <c r="L146" s="79">
        <f t="shared" si="63"/>
        <v>-135</v>
      </c>
      <c r="M146" s="79">
        <f t="shared" si="63"/>
        <v>0</v>
      </c>
      <c r="N146" s="170">
        <f t="shared" si="63"/>
        <v>0</v>
      </c>
      <c r="O146" s="79">
        <f t="shared" si="63"/>
        <v>0</v>
      </c>
      <c r="P146" s="79">
        <f t="shared" si="63"/>
        <v>0</v>
      </c>
      <c r="Q146" s="79">
        <f t="shared" si="63"/>
        <v>0</v>
      </c>
      <c r="R146" s="79">
        <f t="shared" si="63"/>
        <v>0</v>
      </c>
      <c r="S146" s="79">
        <f t="shared" si="63"/>
        <v>0</v>
      </c>
    </row>
    <row r="147" spans="1:19" s="25" customFormat="1" ht="38.25" hidden="1">
      <c r="A147" s="17"/>
      <c r="B147" s="147" t="s">
        <v>496</v>
      </c>
      <c r="C147" s="107"/>
      <c r="D147" s="138" t="s">
        <v>517</v>
      </c>
      <c r="E147" s="79">
        <f>E148+E152+E150</f>
        <v>135</v>
      </c>
      <c r="F147" s="79">
        <f aca="true" t="shared" si="64" ref="F147:Q147">F148+F152+F150</f>
        <v>0</v>
      </c>
      <c r="G147" s="79">
        <f t="shared" si="64"/>
        <v>0</v>
      </c>
      <c r="H147" s="79">
        <f t="shared" si="64"/>
        <v>0</v>
      </c>
      <c r="I147" s="96">
        <f t="shared" si="64"/>
        <v>0</v>
      </c>
      <c r="J147" s="79">
        <f t="shared" si="64"/>
        <v>0</v>
      </c>
      <c r="K147" s="79">
        <f t="shared" si="64"/>
        <v>0</v>
      </c>
      <c r="L147" s="79">
        <f t="shared" si="64"/>
        <v>-135</v>
      </c>
      <c r="M147" s="79">
        <f t="shared" si="64"/>
        <v>0</v>
      </c>
      <c r="N147" s="170">
        <f t="shared" si="64"/>
        <v>0</v>
      </c>
      <c r="O147" s="79">
        <f t="shared" si="64"/>
        <v>0</v>
      </c>
      <c r="P147" s="79">
        <f t="shared" si="64"/>
        <v>0</v>
      </c>
      <c r="Q147" s="79">
        <f t="shared" si="64"/>
        <v>0</v>
      </c>
      <c r="R147" s="79">
        <f>R148+R152+R150</f>
        <v>0</v>
      </c>
      <c r="S147" s="79">
        <f>S148+S152+S150</f>
        <v>0</v>
      </c>
    </row>
    <row r="148" spans="1:19" s="25" customFormat="1" ht="38.25" hidden="1">
      <c r="A148" s="17"/>
      <c r="B148" s="147" t="s">
        <v>497</v>
      </c>
      <c r="C148" s="107"/>
      <c r="D148" s="139" t="s">
        <v>211</v>
      </c>
      <c r="E148" s="79">
        <f>E149</f>
        <v>30</v>
      </c>
      <c r="F148" s="79">
        <f aca="true" t="shared" si="65" ref="F148:S148">F149</f>
        <v>0</v>
      </c>
      <c r="G148" s="79">
        <f t="shared" si="65"/>
        <v>0</v>
      </c>
      <c r="H148" s="79">
        <f t="shared" si="65"/>
        <v>0</v>
      </c>
      <c r="I148" s="96">
        <f t="shared" si="65"/>
        <v>0</v>
      </c>
      <c r="J148" s="79">
        <f t="shared" si="65"/>
        <v>0</v>
      </c>
      <c r="K148" s="79">
        <f t="shared" si="65"/>
        <v>0</v>
      </c>
      <c r="L148" s="79">
        <f t="shared" si="65"/>
        <v>-30</v>
      </c>
      <c r="M148" s="79">
        <f t="shared" si="65"/>
        <v>0</v>
      </c>
      <c r="N148" s="170">
        <f t="shared" si="65"/>
        <v>0</v>
      </c>
      <c r="O148" s="79">
        <f t="shared" si="65"/>
        <v>0</v>
      </c>
      <c r="P148" s="79">
        <f t="shared" si="65"/>
        <v>0</v>
      </c>
      <c r="Q148" s="79">
        <f t="shared" si="65"/>
        <v>0</v>
      </c>
      <c r="R148" s="79">
        <f t="shared" si="65"/>
        <v>0</v>
      </c>
      <c r="S148" s="79">
        <f t="shared" si="65"/>
        <v>0</v>
      </c>
    </row>
    <row r="149" spans="1:19" s="25" customFormat="1" ht="25.5" hidden="1">
      <c r="A149" s="17"/>
      <c r="B149" s="66"/>
      <c r="C149" s="41" t="s">
        <v>3</v>
      </c>
      <c r="D149" s="67" t="s">
        <v>95</v>
      </c>
      <c r="E149" s="79">
        <v>30</v>
      </c>
      <c r="F149" s="93">
        <f>E149+SUM(G149:Q149)</f>
        <v>0</v>
      </c>
      <c r="G149" s="68"/>
      <c r="H149" s="68"/>
      <c r="I149" s="153"/>
      <c r="J149" s="69"/>
      <c r="K149" s="68"/>
      <c r="L149" s="68">
        <f>-30</f>
        <v>-30</v>
      </c>
      <c r="M149" s="68"/>
      <c r="N149" s="168"/>
      <c r="O149" s="68"/>
      <c r="P149" s="68"/>
      <c r="Q149" s="68"/>
      <c r="R149" s="68"/>
      <c r="S149" s="68"/>
    </row>
    <row r="150" spans="1:19" s="25" customFormat="1" ht="25.5" hidden="1">
      <c r="A150" s="17"/>
      <c r="B150" s="147" t="s">
        <v>504</v>
      </c>
      <c r="C150" s="41"/>
      <c r="D150" s="67" t="s">
        <v>213</v>
      </c>
      <c r="E150" s="79">
        <f>E151</f>
        <v>100</v>
      </c>
      <c r="F150" s="79">
        <f aca="true" t="shared" si="66" ref="F150:S150">F151</f>
        <v>0</v>
      </c>
      <c r="G150" s="79">
        <f t="shared" si="66"/>
        <v>0</v>
      </c>
      <c r="H150" s="79">
        <f t="shared" si="66"/>
        <v>0</v>
      </c>
      <c r="I150" s="96">
        <f t="shared" si="66"/>
        <v>0</v>
      </c>
      <c r="J150" s="79">
        <f t="shared" si="66"/>
        <v>0</v>
      </c>
      <c r="K150" s="79">
        <f t="shared" si="66"/>
        <v>0</v>
      </c>
      <c r="L150" s="79">
        <f t="shared" si="66"/>
        <v>-100</v>
      </c>
      <c r="M150" s="79">
        <f t="shared" si="66"/>
        <v>0</v>
      </c>
      <c r="N150" s="170">
        <f t="shared" si="66"/>
        <v>0</v>
      </c>
      <c r="O150" s="79">
        <f t="shared" si="66"/>
        <v>0</v>
      </c>
      <c r="P150" s="79">
        <f t="shared" si="66"/>
        <v>0</v>
      </c>
      <c r="Q150" s="79">
        <f t="shared" si="66"/>
        <v>0</v>
      </c>
      <c r="R150" s="79">
        <f t="shared" si="66"/>
        <v>0</v>
      </c>
      <c r="S150" s="79">
        <f t="shared" si="66"/>
        <v>0</v>
      </c>
    </row>
    <row r="151" spans="1:19" s="25" customFormat="1" ht="25.5" hidden="1">
      <c r="A151" s="17"/>
      <c r="B151" s="66"/>
      <c r="C151" s="41" t="s">
        <v>3</v>
      </c>
      <c r="D151" s="67" t="s">
        <v>95</v>
      </c>
      <c r="E151" s="79">
        <v>100</v>
      </c>
      <c r="F151" s="93">
        <f>E151+SUM(G151:Q151)</f>
        <v>0</v>
      </c>
      <c r="G151" s="68"/>
      <c r="H151" s="68"/>
      <c r="I151" s="153"/>
      <c r="J151" s="69"/>
      <c r="K151" s="68"/>
      <c r="L151" s="68">
        <f>-100</f>
        <v>-100</v>
      </c>
      <c r="M151" s="68"/>
      <c r="N151" s="168"/>
      <c r="O151" s="68"/>
      <c r="P151" s="68"/>
      <c r="Q151" s="68"/>
      <c r="R151" s="68"/>
      <c r="S151" s="68"/>
    </row>
    <row r="152" spans="1:19" s="25" customFormat="1" ht="38.25" hidden="1">
      <c r="A152" s="17"/>
      <c r="B152" s="66" t="s">
        <v>498</v>
      </c>
      <c r="C152" s="41"/>
      <c r="D152" s="67" t="s">
        <v>499</v>
      </c>
      <c r="E152" s="79">
        <f>E153</f>
        <v>5</v>
      </c>
      <c r="F152" s="79">
        <f aca="true" t="shared" si="67" ref="F152:S152">F153</f>
        <v>0</v>
      </c>
      <c r="G152" s="79">
        <f t="shared" si="67"/>
        <v>0</v>
      </c>
      <c r="H152" s="79">
        <f t="shared" si="67"/>
        <v>0</v>
      </c>
      <c r="I152" s="96">
        <f t="shared" si="67"/>
        <v>0</v>
      </c>
      <c r="J152" s="79">
        <f t="shared" si="67"/>
        <v>0</v>
      </c>
      <c r="K152" s="79">
        <f t="shared" si="67"/>
        <v>0</v>
      </c>
      <c r="L152" s="79">
        <f t="shared" si="67"/>
        <v>-5</v>
      </c>
      <c r="M152" s="79">
        <f t="shared" si="67"/>
        <v>0</v>
      </c>
      <c r="N152" s="170">
        <f t="shared" si="67"/>
        <v>0</v>
      </c>
      <c r="O152" s="79">
        <f t="shared" si="67"/>
        <v>0</v>
      </c>
      <c r="P152" s="79">
        <f t="shared" si="67"/>
        <v>0</v>
      </c>
      <c r="Q152" s="79">
        <f t="shared" si="67"/>
        <v>0</v>
      </c>
      <c r="R152" s="79">
        <f t="shared" si="67"/>
        <v>0</v>
      </c>
      <c r="S152" s="79">
        <f t="shared" si="67"/>
        <v>0</v>
      </c>
    </row>
    <row r="153" spans="1:19" s="25" customFormat="1" ht="25.5" hidden="1">
      <c r="A153" s="17"/>
      <c r="B153" s="66"/>
      <c r="C153" s="41" t="s">
        <v>3</v>
      </c>
      <c r="D153" s="67" t="s">
        <v>95</v>
      </c>
      <c r="E153" s="79">
        <v>5</v>
      </c>
      <c r="F153" s="93">
        <f>E153+SUM(G153:Q153)</f>
        <v>0</v>
      </c>
      <c r="G153" s="68"/>
      <c r="H153" s="68"/>
      <c r="I153" s="153"/>
      <c r="J153" s="69"/>
      <c r="K153" s="68"/>
      <c r="L153" s="68">
        <f>-5</f>
        <v>-5</v>
      </c>
      <c r="M153" s="68"/>
      <c r="N153" s="168"/>
      <c r="O153" s="68"/>
      <c r="P153" s="68"/>
      <c r="Q153" s="68"/>
      <c r="R153" s="68"/>
      <c r="S153" s="68"/>
    </row>
    <row r="154" spans="1:19" s="25" customFormat="1" ht="12" hidden="1">
      <c r="A154" s="5" t="s">
        <v>44</v>
      </c>
      <c r="B154" s="18"/>
      <c r="C154" s="17"/>
      <c r="D154" s="13" t="s">
        <v>45</v>
      </c>
      <c r="E154" s="119">
        <f>E155</f>
        <v>400</v>
      </c>
      <c r="F154" s="119">
        <f aca="true" t="shared" si="68" ref="F154:S155">F155</f>
        <v>247</v>
      </c>
      <c r="G154" s="26">
        <f t="shared" si="68"/>
        <v>0</v>
      </c>
      <c r="H154" s="26">
        <f t="shared" si="68"/>
        <v>0</v>
      </c>
      <c r="I154" s="158">
        <f t="shared" si="68"/>
        <v>0</v>
      </c>
      <c r="J154" s="26">
        <f t="shared" si="68"/>
        <v>0</v>
      </c>
      <c r="K154" s="26">
        <f t="shared" si="68"/>
        <v>0</v>
      </c>
      <c r="L154" s="26">
        <f t="shared" si="68"/>
        <v>0</v>
      </c>
      <c r="M154" s="26">
        <f t="shared" si="68"/>
        <v>0</v>
      </c>
      <c r="N154" s="176">
        <f t="shared" si="68"/>
        <v>0</v>
      </c>
      <c r="O154" s="26">
        <f t="shared" si="68"/>
        <v>-153</v>
      </c>
      <c r="P154" s="26">
        <f t="shared" si="68"/>
        <v>0</v>
      </c>
      <c r="Q154" s="26">
        <f t="shared" si="68"/>
        <v>0</v>
      </c>
      <c r="R154" s="26">
        <f t="shared" si="68"/>
        <v>0</v>
      </c>
      <c r="S154" s="26">
        <f t="shared" si="68"/>
        <v>0</v>
      </c>
    </row>
    <row r="155" spans="1:19" s="25" customFormat="1" ht="38.25" hidden="1">
      <c r="A155" s="17"/>
      <c r="B155" s="63" t="s">
        <v>200</v>
      </c>
      <c r="C155" s="11"/>
      <c r="D155" s="60" t="s">
        <v>114</v>
      </c>
      <c r="E155" s="95">
        <f>E156</f>
        <v>400</v>
      </c>
      <c r="F155" s="95">
        <f t="shared" si="68"/>
        <v>247</v>
      </c>
      <c r="G155" s="73">
        <f t="shared" si="68"/>
        <v>0</v>
      </c>
      <c r="H155" s="73">
        <f t="shared" si="68"/>
        <v>0</v>
      </c>
      <c r="I155" s="77">
        <f t="shared" si="68"/>
        <v>0</v>
      </c>
      <c r="J155" s="73">
        <f t="shared" si="68"/>
        <v>0</v>
      </c>
      <c r="K155" s="73">
        <f t="shared" si="68"/>
        <v>0</v>
      </c>
      <c r="L155" s="73">
        <f t="shared" si="68"/>
        <v>0</v>
      </c>
      <c r="M155" s="73">
        <f t="shared" si="68"/>
        <v>0</v>
      </c>
      <c r="N155" s="123">
        <f t="shared" si="68"/>
        <v>0</v>
      </c>
      <c r="O155" s="73">
        <f t="shared" si="68"/>
        <v>-153</v>
      </c>
      <c r="P155" s="73">
        <f t="shared" si="68"/>
        <v>0</v>
      </c>
      <c r="Q155" s="73">
        <f t="shared" si="68"/>
        <v>0</v>
      </c>
      <c r="R155" s="73">
        <f t="shared" si="68"/>
        <v>0</v>
      </c>
      <c r="S155" s="73">
        <f t="shared" si="68"/>
        <v>0</v>
      </c>
    </row>
    <row r="156" spans="1:19" s="25" customFormat="1" ht="25.5" hidden="1">
      <c r="A156" s="17"/>
      <c r="B156" s="82" t="s">
        <v>214</v>
      </c>
      <c r="C156" s="41"/>
      <c r="D156" s="61" t="s">
        <v>115</v>
      </c>
      <c r="E156" s="79">
        <f>E157+E160+E163</f>
        <v>400</v>
      </c>
      <c r="F156" s="79">
        <f aca="true" t="shared" si="69" ref="F156:Q156">F157+F160+F163</f>
        <v>247</v>
      </c>
      <c r="G156" s="79">
        <f t="shared" si="69"/>
        <v>0</v>
      </c>
      <c r="H156" s="79">
        <f t="shared" si="69"/>
        <v>0</v>
      </c>
      <c r="I156" s="96">
        <f t="shared" si="69"/>
        <v>0</v>
      </c>
      <c r="J156" s="79">
        <f t="shared" si="69"/>
        <v>0</v>
      </c>
      <c r="K156" s="79">
        <f t="shared" si="69"/>
        <v>0</v>
      </c>
      <c r="L156" s="79">
        <f t="shared" si="69"/>
        <v>0</v>
      </c>
      <c r="M156" s="79">
        <f t="shared" si="69"/>
        <v>0</v>
      </c>
      <c r="N156" s="170">
        <f t="shared" si="69"/>
        <v>0</v>
      </c>
      <c r="O156" s="79">
        <f t="shared" si="69"/>
        <v>-153</v>
      </c>
      <c r="P156" s="79">
        <f t="shared" si="69"/>
        <v>0</v>
      </c>
      <c r="Q156" s="79">
        <f t="shared" si="69"/>
        <v>0</v>
      </c>
      <c r="R156" s="79">
        <f>R157+R160+R163</f>
        <v>0</v>
      </c>
      <c r="S156" s="79">
        <f>S157+S160+S163</f>
        <v>0</v>
      </c>
    </row>
    <row r="157" spans="1:19" s="25" customFormat="1" ht="25.5" hidden="1">
      <c r="A157" s="17"/>
      <c r="B157" s="66" t="s">
        <v>219</v>
      </c>
      <c r="C157" s="41"/>
      <c r="D157" s="57" t="s">
        <v>221</v>
      </c>
      <c r="E157" s="79">
        <f>E158</f>
        <v>80</v>
      </c>
      <c r="F157" s="79">
        <f aca="true" t="shared" si="70" ref="F157:S158">F158</f>
        <v>80</v>
      </c>
      <c r="G157" s="68">
        <f t="shared" si="70"/>
        <v>0</v>
      </c>
      <c r="H157" s="68">
        <f t="shared" si="70"/>
        <v>0</v>
      </c>
      <c r="I157" s="70">
        <f t="shared" si="70"/>
        <v>0</v>
      </c>
      <c r="J157" s="68">
        <f t="shared" si="70"/>
        <v>0</v>
      </c>
      <c r="K157" s="68">
        <f t="shared" si="70"/>
        <v>0</v>
      </c>
      <c r="L157" s="68">
        <f t="shared" si="70"/>
        <v>0</v>
      </c>
      <c r="M157" s="68">
        <f t="shared" si="70"/>
        <v>0</v>
      </c>
      <c r="N157" s="168">
        <f t="shared" si="70"/>
        <v>0</v>
      </c>
      <c r="O157" s="68">
        <f t="shared" si="70"/>
        <v>0</v>
      </c>
      <c r="P157" s="68">
        <f t="shared" si="70"/>
        <v>0</v>
      </c>
      <c r="Q157" s="68">
        <f t="shared" si="70"/>
        <v>0</v>
      </c>
      <c r="R157" s="68">
        <f t="shared" si="70"/>
        <v>0</v>
      </c>
      <c r="S157" s="68">
        <f t="shared" si="70"/>
        <v>0</v>
      </c>
    </row>
    <row r="158" spans="1:19" s="25" customFormat="1" ht="12.75" hidden="1">
      <c r="A158" s="17"/>
      <c r="B158" s="66" t="s">
        <v>220</v>
      </c>
      <c r="C158" s="41"/>
      <c r="D158" s="57" t="s">
        <v>218</v>
      </c>
      <c r="E158" s="79">
        <f>E159</f>
        <v>80</v>
      </c>
      <c r="F158" s="79">
        <f t="shared" si="70"/>
        <v>80</v>
      </c>
      <c r="G158" s="68">
        <f t="shared" si="70"/>
        <v>0</v>
      </c>
      <c r="H158" s="68">
        <f t="shared" si="70"/>
        <v>0</v>
      </c>
      <c r="I158" s="70">
        <f t="shared" si="70"/>
        <v>0</v>
      </c>
      <c r="J158" s="68">
        <f t="shared" si="70"/>
        <v>0</v>
      </c>
      <c r="K158" s="68">
        <f t="shared" si="70"/>
        <v>0</v>
      </c>
      <c r="L158" s="68">
        <f t="shared" si="70"/>
        <v>0</v>
      </c>
      <c r="M158" s="68">
        <f t="shared" si="70"/>
        <v>0</v>
      </c>
      <c r="N158" s="168">
        <f t="shared" si="70"/>
        <v>0</v>
      </c>
      <c r="O158" s="68">
        <f t="shared" si="70"/>
        <v>0</v>
      </c>
      <c r="P158" s="68">
        <f t="shared" si="70"/>
        <v>0</v>
      </c>
      <c r="Q158" s="68">
        <f t="shared" si="70"/>
        <v>0</v>
      </c>
      <c r="R158" s="68">
        <f t="shared" si="70"/>
        <v>0</v>
      </c>
      <c r="S158" s="68">
        <f t="shared" si="70"/>
        <v>0</v>
      </c>
    </row>
    <row r="159" spans="1:19" s="25" customFormat="1" ht="25.5" hidden="1">
      <c r="A159" s="17"/>
      <c r="B159" s="66"/>
      <c r="C159" s="41" t="s">
        <v>3</v>
      </c>
      <c r="D159" s="67" t="s">
        <v>95</v>
      </c>
      <c r="E159" s="79">
        <f>80</f>
        <v>80</v>
      </c>
      <c r="F159" s="93">
        <f>E159+SUM(G159:Q159)</f>
        <v>80</v>
      </c>
      <c r="G159" s="68"/>
      <c r="H159" s="68"/>
      <c r="I159" s="153"/>
      <c r="J159" s="69"/>
      <c r="K159" s="68"/>
      <c r="L159" s="68"/>
      <c r="M159" s="68"/>
      <c r="N159" s="168"/>
      <c r="O159" s="68"/>
      <c r="P159" s="68"/>
      <c r="Q159" s="68"/>
      <c r="R159" s="68"/>
      <c r="S159" s="68"/>
    </row>
    <row r="160" spans="1:19" s="25" customFormat="1" ht="38.25" hidden="1">
      <c r="A160" s="17"/>
      <c r="B160" s="66" t="s">
        <v>226</v>
      </c>
      <c r="C160" s="41"/>
      <c r="D160" s="67" t="s">
        <v>516</v>
      </c>
      <c r="E160" s="79">
        <f>E161</f>
        <v>30</v>
      </c>
      <c r="F160" s="79">
        <f aca="true" t="shared" si="71" ref="F160:S161">F161</f>
        <v>30</v>
      </c>
      <c r="G160" s="68">
        <f t="shared" si="71"/>
        <v>0</v>
      </c>
      <c r="H160" s="68">
        <f t="shared" si="71"/>
        <v>0</v>
      </c>
      <c r="I160" s="70">
        <f t="shared" si="71"/>
        <v>0</v>
      </c>
      <c r="J160" s="68">
        <f t="shared" si="71"/>
        <v>0</v>
      </c>
      <c r="K160" s="68">
        <f t="shared" si="71"/>
        <v>0</v>
      </c>
      <c r="L160" s="68">
        <f t="shared" si="71"/>
        <v>0</v>
      </c>
      <c r="M160" s="68">
        <f t="shared" si="71"/>
        <v>0</v>
      </c>
      <c r="N160" s="168">
        <f t="shared" si="71"/>
        <v>0</v>
      </c>
      <c r="O160" s="68">
        <f t="shared" si="71"/>
        <v>0</v>
      </c>
      <c r="P160" s="68">
        <f t="shared" si="71"/>
        <v>0</v>
      </c>
      <c r="Q160" s="68">
        <f t="shared" si="71"/>
        <v>0</v>
      </c>
      <c r="R160" s="68">
        <f t="shared" si="71"/>
        <v>0</v>
      </c>
      <c r="S160" s="68">
        <f t="shared" si="71"/>
        <v>0</v>
      </c>
    </row>
    <row r="161" spans="1:19" s="25" customFormat="1" ht="12.75" hidden="1">
      <c r="A161" s="17"/>
      <c r="B161" s="66" t="s">
        <v>222</v>
      </c>
      <c r="C161" s="41"/>
      <c r="D161" s="57" t="s">
        <v>218</v>
      </c>
      <c r="E161" s="79">
        <f>E162</f>
        <v>30</v>
      </c>
      <c r="F161" s="79">
        <f t="shared" si="71"/>
        <v>30</v>
      </c>
      <c r="G161" s="68">
        <f t="shared" si="71"/>
        <v>0</v>
      </c>
      <c r="H161" s="68">
        <f t="shared" si="71"/>
        <v>0</v>
      </c>
      <c r="I161" s="70">
        <f t="shared" si="71"/>
        <v>0</v>
      </c>
      <c r="J161" s="68">
        <f t="shared" si="71"/>
        <v>0</v>
      </c>
      <c r="K161" s="68">
        <f t="shared" si="71"/>
        <v>0</v>
      </c>
      <c r="L161" s="68">
        <f t="shared" si="71"/>
        <v>0</v>
      </c>
      <c r="M161" s="68">
        <f t="shared" si="71"/>
        <v>0</v>
      </c>
      <c r="N161" s="168">
        <f t="shared" si="71"/>
        <v>0</v>
      </c>
      <c r="O161" s="68">
        <f t="shared" si="71"/>
        <v>0</v>
      </c>
      <c r="P161" s="68">
        <f t="shared" si="71"/>
        <v>0</v>
      </c>
      <c r="Q161" s="68">
        <f t="shared" si="71"/>
        <v>0</v>
      </c>
      <c r="R161" s="68">
        <f t="shared" si="71"/>
        <v>0</v>
      </c>
      <c r="S161" s="68">
        <f t="shared" si="71"/>
        <v>0</v>
      </c>
    </row>
    <row r="162" spans="1:19" s="25" customFormat="1" ht="25.5" hidden="1">
      <c r="A162" s="17"/>
      <c r="B162" s="66"/>
      <c r="C162" s="41" t="s">
        <v>3</v>
      </c>
      <c r="D162" s="67" t="s">
        <v>95</v>
      </c>
      <c r="E162" s="79">
        <f>30</f>
        <v>30</v>
      </c>
      <c r="F162" s="93">
        <f>E162+SUM(G162:Q162)</f>
        <v>30</v>
      </c>
      <c r="G162" s="68"/>
      <c r="H162" s="68"/>
      <c r="I162" s="70"/>
      <c r="J162" s="68"/>
      <c r="K162" s="68"/>
      <c r="L162" s="68"/>
      <c r="M162" s="68"/>
      <c r="N162" s="168"/>
      <c r="O162" s="68"/>
      <c r="P162" s="68"/>
      <c r="Q162" s="68"/>
      <c r="R162" s="68"/>
      <c r="S162" s="68"/>
    </row>
    <row r="163" spans="1:19" s="25" customFormat="1" ht="28.5" customHeight="1" hidden="1">
      <c r="A163" s="17"/>
      <c r="B163" s="66" t="s">
        <v>223</v>
      </c>
      <c r="C163" s="41"/>
      <c r="D163" s="57" t="s">
        <v>225</v>
      </c>
      <c r="E163" s="79">
        <f>E164</f>
        <v>290</v>
      </c>
      <c r="F163" s="79">
        <f aca="true" t="shared" si="72" ref="F163:S164">F164</f>
        <v>137</v>
      </c>
      <c r="G163" s="79">
        <f t="shared" si="72"/>
        <v>0</v>
      </c>
      <c r="H163" s="79">
        <f t="shared" si="72"/>
        <v>0</v>
      </c>
      <c r="I163" s="96">
        <f t="shared" si="72"/>
        <v>0</v>
      </c>
      <c r="J163" s="79">
        <f t="shared" si="72"/>
        <v>0</v>
      </c>
      <c r="K163" s="79">
        <f t="shared" si="72"/>
        <v>0</v>
      </c>
      <c r="L163" s="79">
        <f t="shared" si="72"/>
        <v>0</v>
      </c>
      <c r="M163" s="79">
        <f t="shared" si="72"/>
        <v>0</v>
      </c>
      <c r="N163" s="170">
        <f t="shared" si="72"/>
        <v>0</v>
      </c>
      <c r="O163" s="79">
        <f t="shared" si="72"/>
        <v>-153</v>
      </c>
      <c r="P163" s="79">
        <f t="shared" si="72"/>
        <v>0</v>
      </c>
      <c r="Q163" s="79">
        <f t="shared" si="72"/>
        <v>0</v>
      </c>
      <c r="R163" s="79">
        <f t="shared" si="72"/>
        <v>0</v>
      </c>
      <c r="S163" s="79">
        <f t="shared" si="72"/>
        <v>0</v>
      </c>
    </row>
    <row r="164" spans="1:19" s="25" customFormat="1" ht="23.25" customHeight="1" hidden="1">
      <c r="A164" s="17"/>
      <c r="B164" s="66" t="s">
        <v>224</v>
      </c>
      <c r="C164" s="41"/>
      <c r="D164" s="57" t="s">
        <v>218</v>
      </c>
      <c r="E164" s="79">
        <f>E165</f>
        <v>290</v>
      </c>
      <c r="F164" s="79">
        <f t="shared" si="72"/>
        <v>137</v>
      </c>
      <c r="G164" s="79">
        <f t="shared" si="72"/>
        <v>0</v>
      </c>
      <c r="H164" s="79">
        <f t="shared" si="72"/>
        <v>0</v>
      </c>
      <c r="I164" s="96">
        <f t="shared" si="72"/>
        <v>0</v>
      </c>
      <c r="J164" s="79">
        <f t="shared" si="72"/>
        <v>0</v>
      </c>
      <c r="K164" s="79">
        <f t="shared" si="72"/>
        <v>0</v>
      </c>
      <c r="L164" s="79">
        <f t="shared" si="72"/>
        <v>0</v>
      </c>
      <c r="M164" s="79">
        <f t="shared" si="72"/>
        <v>0</v>
      </c>
      <c r="N164" s="170">
        <f t="shared" si="72"/>
        <v>0</v>
      </c>
      <c r="O164" s="79">
        <f t="shared" si="72"/>
        <v>-153</v>
      </c>
      <c r="P164" s="79">
        <f t="shared" si="72"/>
        <v>0</v>
      </c>
      <c r="Q164" s="79">
        <f t="shared" si="72"/>
        <v>0</v>
      </c>
      <c r="R164" s="79">
        <f t="shared" si="72"/>
        <v>0</v>
      </c>
      <c r="S164" s="79">
        <f t="shared" si="72"/>
        <v>0</v>
      </c>
    </row>
    <row r="165" spans="1:19" s="25" customFormat="1" ht="25.5" hidden="1">
      <c r="A165" s="17"/>
      <c r="B165" s="66"/>
      <c r="C165" s="41" t="s">
        <v>3</v>
      </c>
      <c r="D165" s="67" t="s">
        <v>95</v>
      </c>
      <c r="E165" s="79">
        <f>290</f>
        <v>290</v>
      </c>
      <c r="F165" s="93">
        <f>E165+SUM(G165:Q165)</f>
        <v>137</v>
      </c>
      <c r="G165" s="68"/>
      <c r="H165" s="68"/>
      <c r="I165" s="70"/>
      <c r="J165" s="68"/>
      <c r="K165" s="68"/>
      <c r="L165" s="68"/>
      <c r="M165" s="68"/>
      <c r="N165" s="168"/>
      <c r="O165" s="68">
        <f>-153</f>
        <v>-153</v>
      </c>
      <c r="P165" s="68"/>
      <c r="Q165" s="68"/>
      <c r="R165" s="68"/>
      <c r="S165" s="68"/>
    </row>
    <row r="166" spans="1:19" s="25" customFormat="1" ht="29.25" customHeight="1" hidden="1">
      <c r="A166" s="5" t="s">
        <v>543</v>
      </c>
      <c r="B166" s="66"/>
      <c r="C166" s="41"/>
      <c r="D166" s="113" t="s">
        <v>544</v>
      </c>
      <c r="E166" s="95">
        <f>E167</f>
        <v>0</v>
      </c>
      <c r="F166" s="95">
        <f aca="true" t="shared" si="73" ref="F166:S168">F167</f>
        <v>518.8</v>
      </c>
      <c r="G166" s="95">
        <f t="shared" si="73"/>
        <v>0</v>
      </c>
      <c r="H166" s="95">
        <f t="shared" si="73"/>
        <v>0</v>
      </c>
      <c r="I166" s="95">
        <f t="shared" si="73"/>
        <v>0</v>
      </c>
      <c r="J166" s="95">
        <f t="shared" si="73"/>
        <v>0</v>
      </c>
      <c r="K166" s="95">
        <f t="shared" si="73"/>
        <v>0</v>
      </c>
      <c r="L166" s="95">
        <f t="shared" si="73"/>
        <v>135</v>
      </c>
      <c r="M166" s="79">
        <f t="shared" si="73"/>
        <v>0</v>
      </c>
      <c r="N166" s="170">
        <f t="shared" si="73"/>
        <v>0</v>
      </c>
      <c r="O166" s="79">
        <f t="shared" si="73"/>
        <v>383.8</v>
      </c>
      <c r="P166" s="79">
        <f t="shared" si="73"/>
        <v>0</v>
      </c>
      <c r="Q166" s="79">
        <f t="shared" si="73"/>
        <v>0</v>
      </c>
      <c r="R166" s="79">
        <f t="shared" si="73"/>
        <v>0</v>
      </c>
      <c r="S166" s="79">
        <f t="shared" si="73"/>
        <v>0</v>
      </c>
    </row>
    <row r="167" spans="1:19" s="25" customFormat="1" ht="39.75" customHeight="1" hidden="1">
      <c r="A167" s="5"/>
      <c r="B167" s="63" t="s">
        <v>200</v>
      </c>
      <c r="C167" s="11"/>
      <c r="D167" s="60" t="s">
        <v>114</v>
      </c>
      <c r="E167" s="95">
        <f>E168</f>
        <v>0</v>
      </c>
      <c r="F167" s="95">
        <f t="shared" si="73"/>
        <v>518.8</v>
      </c>
      <c r="G167" s="95">
        <f t="shared" si="73"/>
        <v>0</v>
      </c>
      <c r="H167" s="95">
        <f t="shared" si="73"/>
        <v>0</v>
      </c>
      <c r="I167" s="95">
        <f t="shared" si="73"/>
        <v>0</v>
      </c>
      <c r="J167" s="95">
        <f t="shared" si="73"/>
        <v>0</v>
      </c>
      <c r="K167" s="95">
        <f t="shared" si="73"/>
        <v>0</v>
      </c>
      <c r="L167" s="95">
        <f t="shared" si="73"/>
        <v>135</v>
      </c>
      <c r="M167" s="79">
        <f t="shared" si="73"/>
        <v>0</v>
      </c>
      <c r="N167" s="170">
        <f t="shared" si="73"/>
        <v>0</v>
      </c>
      <c r="O167" s="79">
        <f t="shared" si="73"/>
        <v>383.8</v>
      </c>
      <c r="P167" s="79">
        <f t="shared" si="73"/>
        <v>0</v>
      </c>
      <c r="Q167" s="79">
        <f t="shared" si="73"/>
        <v>0</v>
      </c>
      <c r="R167" s="79">
        <f t="shared" si="73"/>
        <v>0</v>
      </c>
      <c r="S167" s="79">
        <f t="shared" si="73"/>
        <v>0</v>
      </c>
    </row>
    <row r="168" spans="1:19" s="25" customFormat="1" ht="25.5" hidden="1">
      <c r="A168" s="5"/>
      <c r="B168" s="162" t="s">
        <v>495</v>
      </c>
      <c r="C168" s="136"/>
      <c r="D168" s="137" t="s">
        <v>494</v>
      </c>
      <c r="E168" s="79">
        <f>E169</f>
        <v>0</v>
      </c>
      <c r="F168" s="79">
        <f t="shared" si="73"/>
        <v>518.8</v>
      </c>
      <c r="G168" s="79">
        <f t="shared" si="73"/>
        <v>0</v>
      </c>
      <c r="H168" s="79">
        <f t="shared" si="73"/>
        <v>0</v>
      </c>
      <c r="I168" s="79">
        <f t="shared" si="73"/>
        <v>0</v>
      </c>
      <c r="J168" s="79">
        <f t="shared" si="73"/>
        <v>0</v>
      </c>
      <c r="K168" s="79">
        <f t="shared" si="73"/>
        <v>0</v>
      </c>
      <c r="L168" s="79">
        <f t="shared" si="73"/>
        <v>135</v>
      </c>
      <c r="M168" s="79">
        <f t="shared" si="73"/>
        <v>0</v>
      </c>
      <c r="N168" s="170">
        <f t="shared" si="73"/>
        <v>0</v>
      </c>
      <c r="O168" s="79">
        <f t="shared" si="73"/>
        <v>383.8</v>
      </c>
      <c r="P168" s="79">
        <f t="shared" si="73"/>
        <v>0</v>
      </c>
      <c r="Q168" s="79">
        <f t="shared" si="73"/>
        <v>0</v>
      </c>
      <c r="R168" s="79">
        <f t="shared" si="73"/>
        <v>0</v>
      </c>
      <c r="S168" s="79">
        <f t="shared" si="73"/>
        <v>0</v>
      </c>
    </row>
    <row r="169" spans="1:19" s="25" customFormat="1" ht="38.25" hidden="1">
      <c r="A169" s="5"/>
      <c r="B169" s="147" t="s">
        <v>496</v>
      </c>
      <c r="C169" s="107"/>
      <c r="D169" s="138" t="s">
        <v>517</v>
      </c>
      <c r="E169" s="79">
        <f>E170+E172+E176</f>
        <v>0</v>
      </c>
      <c r="F169" s="79">
        <f aca="true" t="shared" si="74" ref="F169:N169">F170+F172+F176+F174</f>
        <v>518.8</v>
      </c>
      <c r="G169" s="79">
        <f t="shared" si="74"/>
        <v>0</v>
      </c>
      <c r="H169" s="79">
        <f t="shared" si="74"/>
        <v>0</v>
      </c>
      <c r="I169" s="79">
        <f t="shared" si="74"/>
        <v>0</v>
      </c>
      <c r="J169" s="79">
        <f t="shared" si="74"/>
        <v>0</v>
      </c>
      <c r="K169" s="79">
        <f t="shared" si="74"/>
        <v>0</v>
      </c>
      <c r="L169" s="79">
        <f t="shared" si="74"/>
        <v>135</v>
      </c>
      <c r="M169" s="79">
        <f t="shared" si="74"/>
        <v>0</v>
      </c>
      <c r="N169" s="79">
        <f t="shared" si="74"/>
        <v>0</v>
      </c>
      <c r="O169" s="79">
        <f>O170+O172+O176+O174</f>
        <v>383.8</v>
      </c>
      <c r="P169" s="79">
        <f>P170+P172+P176+P174</f>
        <v>0</v>
      </c>
      <c r="Q169" s="79">
        <f>Q170+Q172+Q176+Q174</f>
        <v>0</v>
      </c>
      <c r="R169" s="79">
        <f>R170+R172+R176+R174</f>
        <v>0</v>
      </c>
      <c r="S169" s="79">
        <f>S170+S172+S176+S174</f>
        <v>0</v>
      </c>
    </row>
    <row r="170" spans="1:19" s="25" customFormat="1" ht="38.25" hidden="1">
      <c r="A170" s="5"/>
      <c r="B170" s="147" t="s">
        <v>497</v>
      </c>
      <c r="C170" s="107"/>
      <c r="D170" s="139" t="s">
        <v>211</v>
      </c>
      <c r="E170" s="79">
        <f>E171</f>
        <v>0</v>
      </c>
      <c r="F170" s="79">
        <f aca="true" t="shared" si="75" ref="F170:S170">F171</f>
        <v>10</v>
      </c>
      <c r="G170" s="79">
        <f t="shared" si="75"/>
        <v>0</v>
      </c>
      <c r="H170" s="79">
        <f t="shared" si="75"/>
        <v>0</v>
      </c>
      <c r="I170" s="79">
        <f t="shared" si="75"/>
        <v>0</v>
      </c>
      <c r="J170" s="79">
        <f t="shared" si="75"/>
        <v>0</v>
      </c>
      <c r="K170" s="79">
        <f t="shared" si="75"/>
        <v>0</v>
      </c>
      <c r="L170" s="79">
        <f t="shared" si="75"/>
        <v>30</v>
      </c>
      <c r="M170" s="79">
        <f t="shared" si="75"/>
        <v>0</v>
      </c>
      <c r="N170" s="170">
        <f t="shared" si="75"/>
        <v>0</v>
      </c>
      <c r="O170" s="79">
        <f t="shared" si="75"/>
        <v>-20</v>
      </c>
      <c r="P170" s="79">
        <f t="shared" si="75"/>
        <v>0</v>
      </c>
      <c r="Q170" s="79">
        <f t="shared" si="75"/>
        <v>0</v>
      </c>
      <c r="R170" s="79">
        <f t="shared" si="75"/>
        <v>0</v>
      </c>
      <c r="S170" s="79">
        <f t="shared" si="75"/>
        <v>0</v>
      </c>
    </row>
    <row r="171" spans="1:19" s="25" customFormat="1" ht="25.5" hidden="1">
      <c r="A171" s="5"/>
      <c r="B171" s="66"/>
      <c r="C171" s="41" t="s">
        <v>3</v>
      </c>
      <c r="D171" s="67" t="s">
        <v>95</v>
      </c>
      <c r="E171" s="79"/>
      <c r="F171" s="93">
        <f>E171+SUM(G171:Q171)</f>
        <v>10</v>
      </c>
      <c r="G171" s="68"/>
      <c r="H171" s="68"/>
      <c r="I171" s="70"/>
      <c r="J171" s="68"/>
      <c r="K171" s="68"/>
      <c r="L171" s="68">
        <f>30</f>
        <v>30</v>
      </c>
      <c r="M171" s="68"/>
      <c r="N171" s="168"/>
      <c r="O171" s="68">
        <f>-20</f>
        <v>-20</v>
      </c>
      <c r="P171" s="68"/>
      <c r="Q171" s="68"/>
      <c r="R171" s="68"/>
      <c r="S171" s="68"/>
    </row>
    <row r="172" spans="1:19" s="25" customFormat="1" ht="25.5" hidden="1">
      <c r="A172" s="5"/>
      <c r="B172" s="66" t="s">
        <v>504</v>
      </c>
      <c r="C172" s="41"/>
      <c r="D172" s="67" t="s">
        <v>213</v>
      </c>
      <c r="E172" s="79">
        <f>E173</f>
        <v>0</v>
      </c>
      <c r="F172" s="79">
        <f aca="true" t="shared" si="76" ref="F172:S172">F173</f>
        <v>0</v>
      </c>
      <c r="G172" s="79">
        <f t="shared" si="76"/>
        <v>0</v>
      </c>
      <c r="H172" s="79">
        <f t="shared" si="76"/>
        <v>0</v>
      </c>
      <c r="I172" s="79">
        <f t="shared" si="76"/>
        <v>0</v>
      </c>
      <c r="J172" s="79">
        <f t="shared" si="76"/>
        <v>0</v>
      </c>
      <c r="K172" s="79">
        <f t="shared" si="76"/>
        <v>0</v>
      </c>
      <c r="L172" s="79">
        <f t="shared" si="76"/>
        <v>100</v>
      </c>
      <c r="M172" s="79">
        <f t="shared" si="76"/>
        <v>0</v>
      </c>
      <c r="N172" s="170">
        <f t="shared" si="76"/>
        <v>0</v>
      </c>
      <c r="O172" s="79">
        <f t="shared" si="76"/>
        <v>-100</v>
      </c>
      <c r="P172" s="79">
        <f t="shared" si="76"/>
        <v>0</v>
      </c>
      <c r="Q172" s="79">
        <f t="shared" si="76"/>
        <v>0</v>
      </c>
      <c r="R172" s="79">
        <f t="shared" si="76"/>
        <v>0</v>
      </c>
      <c r="S172" s="79">
        <f t="shared" si="76"/>
        <v>0</v>
      </c>
    </row>
    <row r="173" spans="1:19" s="25" customFormat="1" ht="25.5" hidden="1">
      <c r="A173" s="5"/>
      <c r="B173" s="66"/>
      <c r="C173" s="41" t="s">
        <v>3</v>
      </c>
      <c r="D173" s="67" t="s">
        <v>95</v>
      </c>
      <c r="E173" s="79"/>
      <c r="F173" s="93">
        <f>E173+SUM(G173:Q173)</f>
        <v>0</v>
      </c>
      <c r="G173" s="68"/>
      <c r="H173" s="68"/>
      <c r="I173" s="70"/>
      <c r="J173" s="68"/>
      <c r="K173" s="68"/>
      <c r="L173" s="68">
        <v>100</v>
      </c>
      <c r="M173" s="68"/>
      <c r="N173" s="168"/>
      <c r="O173" s="68">
        <f>-100</f>
        <v>-100</v>
      </c>
      <c r="P173" s="68"/>
      <c r="Q173" s="68"/>
      <c r="R173" s="68"/>
      <c r="S173" s="68"/>
    </row>
    <row r="174" spans="1:19" s="25" customFormat="1" ht="25.5" hidden="1">
      <c r="A174" s="5"/>
      <c r="B174" s="66" t="s">
        <v>504</v>
      </c>
      <c r="C174" s="41"/>
      <c r="D174" s="67" t="s">
        <v>556</v>
      </c>
      <c r="E174" s="79"/>
      <c r="F174" s="68">
        <f aca="true" t="shared" si="77" ref="F174:N174">F175</f>
        <v>503.8</v>
      </c>
      <c r="G174" s="68">
        <f t="shared" si="77"/>
        <v>0</v>
      </c>
      <c r="H174" s="68">
        <f t="shared" si="77"/>
        <v>0</v>
      </c>
      <c r="I174" s="68">
        <f t="shared" si="77"/>
        <v>0</v>
      </c>
      <c r="J174" s="68">
        <f t="shared" si="77"/>
        <v>0</v>
      </c>
      <c r="K174" s="68">
        <f t="shared" si="77"/>
        <v>0</v>
      </c>
      <c r="L174" s="68">
        <f t="shared" si="77"/>
        <v>0</v>
      </c>
      <c r="M174" s="68">
        <f t="shared" si="77"/>
        <v>0</v>
      </c>
      <c r="N174" s="68">
        <f t="shared" si="77"/>
        <v>0</v>
      </c>
      <c r="O174" s="68">
        <f>O175</f>
        <v>503.8</v>
      </c>
      <c r="P174" s="68">
        <f>P175</f>
        <v>0</v>
      </c>
      <c r="Q174" s="68">
        <f>Q175</f>
        <v>0</v>
      </c>
      <c r="R174" s="68">
        <f>R175</f>
        <v>0</v>
      </c>
      <c r="S174" s="68">
        <f>S175</f>
        <v>0</v>
      </c>
    </row>
    <row r="175" spans="1:19" s="25" customFormat="1" ht="25.5" hidden="1">
      <c r="A175" s="5"/>
      <c r="B175" s="66"/>
      <c r="C175" s="41" t="s">
        <v>3</v>
      </c>
      <c r="D175" s="67" t="s">
        <v>95</v>
      </c>
      <c r="E175" s="79"/>
      <c r="F175" s="93">
        <f>E175+SUM(G175:Q175)</f>
        <v>503.8</v>
      </c>
      <c r="G175" s="68"/>
      <c r="H175" s="68"/>
      <c r="I175" s="70"/>
      <c r="J175" s="68"/>
      <c r="K175" s="68"/>
      <c r="L175" s="68"/>
      <c r="M175" s="68"/>
      <c r="N175" s="168"/>
      <c r="O175" s="68">
        <v>503.8</v>
      </c>
      <c r="P175" s="68"/>
      <c r="Q175" s="68"/>
      <c r="R175" s="68"/>
      <c r="S175" s="68"/>
    </row>
    <row r="176" spans="1:19" s="25" customFormat="1" ht="38.25" hidden="1">
      <c r="A176" s="5"/>
      <c r="B176" s="66" t="s">
        <v>498</v>
      </c>
      <c r="C176" s="41"/>
      <c r="D176" s="67" t="s">
        <v>499</v>
      </c>
      <c r="E176" s="79">
        <f>E177</f>
        <v>0</v>
      </c>
      <c r="F176" s="79">
        <f aca="true" t="shared" si="78" ref="F176:S176">F177</f>
        <v>5</v>
      </c>
      <c r="G176" s="79">
        <f t="shared" si="78"/>
        <v>0</v>
      </c>
      <c r="H176" s="79">
        <f t="shared" si="78"/>
        <v>0</v>
      </c>
      <c r="I176" s="79">
        <f t="shared" si="78"/>
        <v>0</v>
      </c>
      <c r="J176" s="79">
        <f t="shared" si="78"/>
        <v>0</v>
      </c>
      <c r="K176" s="79">
        <f t="shared" si="78"/>
        <v>0</v>
      </c>
      <c r="L176" s="79">
        <f t="shared" si="78"/>
        <v>5</v>
      </c>
      <c r="M176" s="79">
        <f t="shared" si="78"/>
        <v>0</v>
      </c>
      <c r="N176" s="170">
        <f t="shared" si="78"/>
        <v>0</v>
      </c>
      <c r="O176" s="79">
        <f t="shared" si="78"/>
        <v>0</v>
      </c>
      <c r="P176" s="79">
        <f t="shared" si="78"/>
        <v>0</v>
      </c>
      <c r="Q176" s="79">
        <f t="shared" si="78"/>
        <v>0</v>
      </c>
      <c r="R176" s="79">
        <f t="shared" si="78"/>
        <v>0</v>
      </c>
      <c r="S176" s="79">
        <f t="shared" si="78"/>
        <v>0</v>
      </c>
    </row>
    <row r="177" spans="1:19" s="25" customFormat="1" ht="25.5" hidden="1">
      <c r="A177" s="5"/>
      <c r="B177" s="66"/>
      <c r="C177" s="41" t="s">
        <v>3</v>
      </c>
      <c r="D177" s="67" t="s">
        <v>95</v>
      </c>
      <c r="E177" s="79"/>
      <c r="F177" s="93">
        <f>E177+SUM(G177:Q177)</f>
        <v>5</v>
      </c>
      <c r="G177" s="68"/>
      <c r="H177" s="68"/>
      <c r="I177" s="70"/>
      <c r="J177" s="68"/>
      <c r="K177" s="68"/>
      <c r="L177" s="68">
        <f>5</f>
        <v>5</v>
      </c>
      <c r="M177" s="68"/>
      <c r="N177" s="168"/>
      <c r="O177" s="68"/>
      <c r="P177" s="68"/>
      <c r="Q177" s="68"/>
      <c r="R177" s="68"/>
      <c r="S177" s="68"/>
    </row>
    <row r="178" spans="1:19" s="25" customFormat="1" ht="16.5" customHeight="1">
      <c r="A178" s="5" t="s">
        <v>46</v>
      </c>
      <c r="B178" s="5"/>
      <c r="C178" s="5"/>
      <c r="D178" s="13" t="s">
        <v>47</v>
      </c>
      <c r="E178" s="119">
        <f>E179+E190+E206+E247</f>
        <v>42969.5</v>
      </c>
      <c r="F178" s="119">
        <f aca="true" t="shared" si="79" ref="F178:Q178">F179+F190+F206+F247</f>
        <v>52402.79371</v>
      </c>
      <c r="G178" s="119">
        <f t="shared" si="79"/>
        <v>0</v>
      </c>
      <c r="H178" s="119">
        <f t="shared" si="79"/>
        <v>10486</v>
      </c>
      <c r="I178" s="121">
        <f t="shared" si="79"/>
        <v>-1760.4756599999998</v>
      </c>
      <c r="J178" s="119">
        <f t="shared" si="79"/>
        <v>698.33333</v>
      </c>
      <c r="K178" s="119">
        <f t="shared" si="79"/>
        <v>-64.9</v>
      </c>
      <c r="L178" s="119">
        <f t="shared" si="79"/>
        <v>2275.83604</v>
      </c>
      <c r="M178" s="119">
        <f t="shared" si="79"/>
        <v>0</v>
      </c>
      <c r="N178" s="171">
        <f t="shared" si="79"/>
        <v>-711.4</v>
      </c>
      <c r="O178" s="119">
        <f t="shared" si="79"/>
        <v>-1490.1</v>
      </c>
      <c r="P178" s="119">
        <f t="shared" si="79"/>
        <v>0</v>
      </c>
      <c r="Q178" s="119">
        <f t="shared" si="79"/>
        <v>0</v>
      </c>
      <c r="R178" s="119">
        <f>R179+R190+R206+R247</f>
        <v>-452.6</v>
      </c>
      <c r="S178" s="119">
        <f>S179+S190+S206+S247</f>
        <v>0</v>
      </c>
    </row>
    <row r="179" spans="1:19" s="25" customFormat="1" ht="19.5" customHeight="1" hidden="1">
      <c r="A179" s="5" t="s">
        <v>151</v>
      </c>
      <c r="B179" s="5"/>
      <c r="C179" s="5"/>
      <c r="D179" s="13" t="s">
        <v>152</v>
      </c>
      <c r="E179" s="119">
        <f>E180</f>
        <v>0</v>
      </c>
      <c r="F179" s="95">
        <f aca="true" t="shared" si="80" ref="F179:S183">F180</f>
        <v>0</v>
      </c>
      <c r="G179" s="73">
        <f t="shared" si="80"/>
        <v>0</v>
      </c>
      <c r="H179" s="73">
        <f t="shared" si="80"/>
        <v>0</v>
      </c>
      <c r="I179" s="77">
        <f t="shared" si="80"/>
        <v>0</v>
      </c>
      <c r="J179" s="73">
        <f t="shared" si="80"/>
        <v>0</v>
      </c>
      <c r="K179" s="73">
        <f t="shared" si="80"/>
        <v>0</v>
      </c>
      <c r="L179" s="73">
        <f t="shared" si="80"/>
        <v>0</v>
      </c>
      <c r="M179" s="73">
        <f t="shared" si="80"/>
        <v>0</v>
      </c>
      <c r="N179" s="123">
        <f t="shared" si="80"/>
        <v>0</v>
      </c>
      <c r="O179" s="73">
        <f t="shared" si="80"/>
        <v>0</v>
      </c>
      <c r="P179" s="73">
        <f t="shared" si="80"/>
        <v>0</v>
      </c>
      <c r="Q179" s="73">
        <f t="shared" si="80"/>
        <v>0</v>
      </c>
      <c r="R179" s="73">
        <f t="shared" si="80"/>
        <v>0</v>
      </c>
      <c r="S179" s="73">
        <f t="shared" si="80"/>
        <v>0</v>
      </c>
    </row>
    <row r="180" spans="1:19" s="25" customFormat="1" ht="38.25" hidden="1">
      <c r="A180" s="17"/>
      <c r="B180" s="63" t="s">
        <v>200</v>
      </c>
      <c r="C180" s="11"/>
      <c r="D180" s="60" t="s">
        <v>114</v>
      </c>
      <c r="E180" s="95">
        <f>E181</f>
        <v>0</v>
      </c>
      <c r="F180" s="95">
        <f t="shared" si="80"/>
        <v>0</v>
      </c>
      <c r="G180" s="73">
        <f t="shared" si="80"/>
        <v>0</v>
      </c>
      <c r="H180" s="73">
        <f t="shared" si="80"/>
        <v>0</v>
      </c>
      <c r="I180" s="77">
        <f t="shared" si="80"/>
        <v>0</v>
      </c>
      <c r="J180" s="73">
        <f t="shared" si="80"/>
        <v>0</v>
      </c>
      <c r="K180" s="73">
        <f t="shared" si="80"/>
        <v>0</v>
      </c>
      <c r="L180" s="73">
        <f t="shared" si="80"/>
        <v>0</v>
      </c>
      <c r="M180" s="73">
        <f t="shared" si="80"/>
        <v>0</v>
      </c>
      <c r="N180" s="123">
        <f t="shared" si="80"/>
        <v>0</v>
      </c>
      <c r="O180" s="73">
        <f t="shared" si="80"/>
        <v>0</v>
      </c>
      <c r="P180" s="73">
        <f t="shared" si="80"/>
        <v>0</v>
      </c>
      <c r="Q180" s="73">
        <f t="shared" si="80"/>
        <v>0</v>
      </c>
      <c r="R180" s="73">
        <f t="shared" si="80"/>
        <v>0</v>
      </c>
      <c r="S180" s="73">
        <f t="shared" si="80"/>
        <v>0</v>
      </c>
    </row>
    <row r="181" spans="1:19" s="25" customFormat="1" ht="49.5" customHeight="1" hidden="1">
      <c r="A181" s="17"/>
      <c r="B181" s="82" t="s">
        <v>236</v>
      </c>
      <c r="C181" s="41"/>
      <c r="D181" s="61" t="s">
        <v>117</v>
      </c>
      <c r="E181" s="79">
        <f>E182</f>
        <v>0</v>
      </c>
      <c r="F181" s="79">
        <f t="shared" si="80"/>
        <v>0</v>
      </c>
      <c r="G181" s="68">
        <f t="shared" si="80"/>
        <v>0</v>
      </c>
      <c r="H181" s="68">
        <f t="shared" si="80"/>
        <v>0</v>
      </c>
      <c r="I181" s="70">
        <f t="shared" si="80"/>
        <v>0</v>
      </c>
      <c r="J181" s="68">
        <f t="shared" si="80"/>
        <v>0</v>
      </c>
      <c r="K181" s="68">
        <f t="shared" si="80"/>
        <v>0</v>
      </c>
      <c r="L181" s="68">
        <f t="shared" si="80"/>
        <v>0</v>
      </c>
      <c r="M181" s="68">
        <f t="shared" si="80"/>
        <v>0</v>
      </c>
      <c r="N181" s="168">
        <f t="shared" si="80"/>
        <v>0</v>
      </c>
      <c r="O181" s="68">
        <f t="shared" si="80"/>
        <v>0</v>
      </c>
      <c r="P181" s="68">
        <f t="shared" si="80"/>
        <v>0</v>
      </c>
      <c r="Q181" s="68">
        <f t="shared" si="80"/>
        <v>0</v>
      </c>
      <c r="R181" s="68">
        <f t="shared" si="80"/>
        <v>0</v>
      </c>
      <c r="S181" s="68">
        <f t="shared" si="80"/>
        <v>0</v>
      </c>
    </row>
    <row r="182" spans="1:19" s="25" customFormat="1" ht="49.5" customHeight="1" hidden="1">
      <c r="A182" s="17"/>
      <c r="B182" s="66" t="s">
        <v>237</v>
      </c>
      <c r="C182" s="41"/>
      <c r="D182" s="57" t="s">
        <v>239</v>
      </c>
      <c r="E182" s="79">
        <f>E183+E187+E185</f>
        <v>0</v>
      </c>
      <c r="F182" s="79">
        <f aca="true" t="shared" si="81" ref="F182:Q182">F183+F187+F185</f>
        <v>0</v>
      </c>
      <c r="G182" s="79">
        <f t="shared" si="81"/>
        <v>0</v>
      </c>
      <c r="H182" s="79">
        <f t="shared" si="81"/>
        <v>0</v>
      </c>
      <c r="I182" s="96">
        <f t="shared" si="81"/>
        <v>0</v>
      </c>
      <c r="J182" s="79">
        <f t="shared" si="81"/>
        <v>0</v>
      </c>
      <c r="K182" s="79">
        <f t="shared" si="81"/>
        <v>0</v>
      </c>
      <c r="L182" s="79">
        <f t="shared" si="81"/>
        <v>0</v>
      </c>
      <c r="M182" s="79">
        <f t="shared" si="81"/>
        <v>0</v>
      </c>
      <c r="N182" s="170">
        <f t="shared" si="81"/>
        <v>0</v>
      </c>
      <c r="O182" s="79">
        <f t="shared" si="81"/>
        <v>0</v>
      </c>
      <c r="P182" s="79">
        <f t="shared" si="81"/>
        <v>0</v>
      </c>
      <c r="Q182" s="79">
        <f t="shared" si="81"/>
        <v>0</v>
      </c>
      <c r="R182" s="79">
        <f>R183+R187+R185</f>
        <v>0</v>
      </c>
      <c r="S182" s="79">
        <f>S183+S187+S185</f>
        <v>0</v>
      </c>
    </row>
    <row r="183" spans="1:19" s="25" customFormat="1" ht="38.25" hidden="1">
      <c r="A183" s="17"/>
      <c r="B183" s="66" t="s">
        <v>238</v>
      </c>
      <c r="C183" s="41"/>
      <c r="D183" s="57" t="s">
        <v>240</v>
      </c>
      <c r="E183" s="79">
        <f>E184</f>
        <v>0</v>
      </c>
      <c r="F183" s="93">
        <f>E183+SUM(G183:Q183)</f>
        <v>0</v>
      </c>
      <c r="G183" s="68">
        <f t="shared" si="80"/>
        <v>0</v>
      </c>
      <c r="H183" s="68">
        <f t="shared" si="80"/>
        <v>0</v>
      </c>
      <c r="I183" s="70">
        <f t="shared" si="80"/>
        <v>0</v>
      </c>
      <c r="J183" s="68">
        <f t="shared" si="80"/>
        <v>0</v>
      </c>
      <c r="K183" s="68">
        <f t="shared" si="80"/>
        <v>0</v>
      </c>
      <c r="L183" s="68">
        <f t="shared" si="80"/>
        <v>0</v>
      </c>
      <c r="M183" s="68">
        <f t="shared" si="80"/>
        <v>0</v>
      </c>
      <c r="N183" s="168">
        <f t="shared" si="80"/>
        <v>0</v>
      </c>
      <c r="O183" s="68">
        <f t="shared" si="80"/>
        <v>0</v>
      </c>
      <c r="P183" s="68">
        <f t="shared" si="80"/>
        <v>0</v>
      </c>
      <c r="Q183" s="68">
        <f t="shared" si="80"/>
        <v>0</v>
      </c>
      <c r="R183" s="68">
        <f t="shared" si="80"/>
        <v>0</v>
      </c>
      <c r="S183" s="68">
        <f t="shared" si="80"/>
        <v>0</v>
      </c>
    </row>
    <row r="184" spans="1:19" s="25" customFormat="1" ht="25.5" hidden="1">
      <c r="A184" s="17"/>
      <c r="B184" s="66"/>
      <c r="C184" s="41" t="s">
        <v>3</v>
      </c>
      <c r="D184" s="67" t="s">
        <v>95</v>
      </c>
      <c r="E184" s="79"/>
      <c r="F184" s="93">
        <f>E184+SUM(G184:Q184)</f>
        <v>0</v>
      </c>
      <c r="G184" s="68"/>
      <c r="H184" s="68"/>
      <c r="I184" s="153"/>
      <c r="J184" s="69"/>
      <c r="K184" s="68"/>
      <c r="L184" s="68"/>
      <c r="M184" s="68"/>
      <c r="N184" s="168"/>
      <c r="O184" s="68"/>
      <c r="P184" s="68"/>
      <c r="Q184" s="68"/>
      <c r="R184" s="68"/>
      <c r="S184" s="68"/>
    </row>
    <row r="185" spans="1:19" s="25" customFormat="1" ht="25.5" hidden="1">
      <c r="A185" s="17"/>
      <c r="B185" s="66" t="s">
        <v>238</v>
      </c>
      <c r="C185" s="41"/>
      <c r="D185" s="67" t="s">
        <v>453</v>
      </c>
      <c r="E185" s="79">
        <f>E186</f>
        <v>0</v>
      </c>
      <c r="F185" s="79">
        <f aca="true" t="shared" si="82" ref="F185:K185">F186</f>
        <v>0</v>
      </c>
      <c r="G185" s="79">
        <f t="shared" si="82"/>
        <v>0</v>
      </c>
      <c r="H185" s="79">
        <f t="shared" si="82"/>
        <v>0</v>
      </c>
      <c r="I185" s="96">
        <f t="shared" si="82"/>
        <v>0</v>
      </c>
      <c r="J185" s="79">
        <f t="shared" si="82"/>
        <v>0</v>
      </c>
      <c r="K185" s="79">
        <f t="shared" si="82"/>
        <v>0</v>
      </c>
      <c r="L185" s="68"/>
      <c r="M185" s="68"/>
      <c r="N185" s="168"/>
      <c r="O185" s="68"/>
      <c r="P185" s="68"/>
      <c r="Q185" s="68"/>
      <c r="R185" s="68"/>
      <c r="S185" s="68"/>
    </row>
    <row r="186" spans="1:19" s="25" customFormat="1" ht="12.75" hidden="1">
      <c r="A186" s="17"/>
      <c r="B186" s="66"/>
      <c r="C186" s="41" t="s">
        <v>9</v>
      </c>
      <c r="D186" s="67" t="s">
        <v>37</v>
      </c>
      <c r="E186" s="79"/>
      <c r="F186" s="93">
        <f>E186+SUM(G186:Q186)</f>
        <v>0</v>
      </c>
      <c r="G186" s="68"/>
      <c r="H186" s="68"/>
      <c r="I186" s="153"/>
      <c r="J186" s="69"/>
      <c r="K186" s="68"/>
      <c r="L186" s="68"/>
      <c r="M186" s="68"/>
      <c r="N186" s="168"/>
      <c r="O186" s="68"/>
      <c r="P186" s="68"/>
      <c r="Q186" s="68"/>
      <c r="R186" s="68"/>
      <c r="S186" s="68"/>
    </row>
    <row r="187" spans="1:19" s="25" customFormat="1" ht="25.5" hidden="1">
      <c r="A187" s="17"/>
      <c r="B187" s="66" t="s">
        <v>452</v>
      </c>
      <c r="C187" s="41"/>
      <c r="D187" s="67" t="s">
        <v>453</v>
      </c>
      <c r="E187" s="79">
        <f>E188+E189</f>
        <v>0</v>
      </c>
      <c r="F187" s="79">
        <f aca="true" t="shared" si="83" ref="F187:K187">F188+F189</f>
        <v>0</v>
      </c>
      <c r="G187" s="79">
        <f t="shared" si="83"/>
        <v>0</v>
      </c>
      <c r="H187" s="79">
        <f t="shared" si="83"/>
        <v>0</v>
      </c>
      <c r="I187" s="96">
        <f t="shared" si="83"/>
        <v>0</v>
      </c>
      <c r="J187" s="79">
        <f t="shared" si="83"/>
        <v>0</v>
      </c>
      <c r="K187" s="79">
        <f t="shared" si="83"/>
        <v>0</v>
      </c>
      <c r="L187" s="68"/>
      <c r="M187" s="68"/>
      <c r="N187" s="168"/>
      <c r="O187" s="68"/>
      <c r="P187" s="68"/>
      <c r="Q187" s="68"/>
      <c r="R187" s="68"/>
      <c r="S187" s="68"/>
    </row>
    <row r="188" spans="1:19" s="25" customFormat="1" ht="25.5" hidden="1">
      <c r="A188" s="17"/>
      <c r="B188" s="66"/>
      <c r="C188" s="41" t="s">
        <v>3</v>
      </c>
      <c r="D188" s="67" t="s">
        <v>95</v>
      </c>
      <c r="E188" s="79"/>
      <c r="F188" s="93">
        <f>E188+SUM(G188:Q188)</f>
        <v>0</v>
      </c>
      <c r="G188" s="68"/>
      <c r="H188" s="68"/>
      <c r="I188" s="153"/>
      <c r="J188" s="69"/>
      <c r="K188" s="68"/>
      <c r="L188" s="68"/>
      <c r="M188" s="68"/>
      <c r="N188" s="168"/>
      <c r="O188" s="68"/>
      <c r="P188" s="68"/>
      <c r="Q188" s="68"/>
      <c r="R188" s="68"/>
      <c r="S188" s="68"/>
    </row>
    <row r="189" spans="1:19" s="25" customFormat="1" ht="12.75" hidden="1">
      <c r="A189" s="17"/>
      <c r="B189" s="66"/>
      <c r="C189" s="41" t="s">
        <v>9</v>
      </c>
      <c r="D189" s="67" t="s">
        <v>37</v>
      </c>
      <c r="E189" s="79"/>
      <c r="F189" s="93">
        <f>E189+SUM(G189:Q189)</f>
        <v>0</v>
      </c>
      <c r="G189" s="68"/>
      <c r="H189" s="68"/>
      <c r="I189" s="153"/>
      <c r="J189" s="69"/>
      <c r="K189" s="68"/>
      <c r="L189" s="68"/>
      <c r="M189" s="68"/>
      <c r="N189" s="168"/>
      <c r="O189" s="68"/>
      <c r="P189" s="68"/>
      <c r="Q189" s="68"/>
      <c r="R189" s="68"/>
      <c r="S189" s="68"/>
    </row>
    <row r="190" spans="1:19" s="25" customFormat="1" ht="12" hidden="1">
      <c r="A190" s="5" t="s">
        <v>90</v>
      </c>
      <c r="B190" s="16"/>
      <c r="C190" s="5"/>
      <c r="D190" s="13" t="s">
        <v>91</v>
      </c>
      <c r="E190" s="119">
        <f>E191+E201</f>
        <v>646.7</v>
      </c>
      <c r="F190" s="119">
        <f aca="true" t="shared" si="84" ref="F190:Q190">F191+F201</f>
        <v>1103.4693700000003</v>
      </c>
      <c r="G190" s="26">
        <f t="shared" si="84"/>
        <v>0</v>
      </c>
      <c r="H190" s="26">
        <f t="shared" si="84"/>
        <v>0</v>
      </c>
      <c r="I190" s="158">
        <f t="shared" si="84"/>
        <v>0</v>
      </c>
      <c r="J190" s="26">
        <f t="shared" si="84"/>
        <v>833.33333</v>
      </c>
      <c r="K190" s="26">
        <f t="shared" si="84"/>
        <v>-64.9</v>
      </c>
      <c r="L190" s="26">
        <f t="shared" si="84"/>
        <v>-224.16396</v>
      </c>
      <c r="M190" s="26">
        <f t="shared" si="84"/>
        <v>0</v>
      </c>
      <c r="N190" s="176">
        <f t="shared" si="84"/>
        <v>0</v>
      </c>
      <c r="O190" s="26">
        <f t="shared" si="84"/>
        <v>-87.5</v>
      </c>
      <c r="P190" s="26">
        <f t="shared" si="84"/>
        <v>0</v>
      </c>
      <c r="Q190" s="26">
        <f t="shared" si="84"/>
        <v>0</v>
      </c>
      <c r="R190" s="26">
        <f>R191+R201</f>
        <v>0</v>
      </c>
      <c r="S190" s="26">
        <f>S191+S201</f>
        <v>0</v>
      </c>
    </row>
    <row r="191" spans="1:19" s="25" customFormat="1" ht="38.25" hidden="1">
      <c r="A191" s="17"/>
      <c r="B191" s="63" t="s">
        <v>200</v>
      </c>
      <c r="C191" s="11"/>
      <c r="D191" s="60" t="s">
        <v>114</v>
      </c>
      <c r="E191" s="95">
        <f>E192</f>
        <v>53.5</v>
      </c>
      <c r="F191" s="95">
        <f aca="true" t="shared" si="85" ref="F191:S191">F192</f>
        <v>53.5</v>
      </c>
      <c r="G191" s="73">
        <f t="shared" si="85"/>
        <v>0</v>
      </c>
      <c r="H191" s="73">
        <f t="shared" si="85"/>
        <v>0</v>
      </c>
      <c r="I191" s="77">
        <f t="shared" si="85"/>
        <v>0</v>
      </c>
      <c r="J191" s="73">
        <f t="shared" si="85"/>
        <v>0</v>
      </c>
      <c r="K191" s="73">
        <f t="shared" si="85"/>
        <v>0</v>
      </c>
      <c r="L191" s="73">
        <f t="shared" si="85"/>
        <v>0</v>
      </c>
      <c r="M191" s="73">
        <f t="shared" si="85"/>
        <v>0</v>
      </c>
      <c r="N191" s="123">
        <f t="shared" si="85"/>
        <v>0</v>
      </c>
      <c r="O191" s="73">
        <f t="shared" si="85"/>
        <v>0</v>
      </c>
      <c r="P191" s="73">
        <f t="shared" si="85"/>
        <v>0</v>
      </c>
      <c r="Q191" s="73">
        <f t="shared" si="85"/>
        <v>0</v>
      </c>
      <c r="R191" s="73">
        <f t="shared" si="85"/>
        <v>0</v>
      </c>
      <c r="S191" s="73">
        <f t="shared" si="85"/>
        <v>0</v>
      </c>
    </row>
    <row r="192" spans="1:19" s="25" customFormat="1" ht="25.5" hidden="1">
      <c r="A192" s="17"/>
      <c r="B192" s="82" t="s">
        <v>227</v>
      </c>
      <c r="C192" s="41"/>
      <c r="D192" s="61" t="s">
        <v>116</v>
      </c>
      <c r="E192" s="79">
        <f>E193+E198</f>
        <v>53.5</v>
      </c>
      <c r="F192" s="79">
        <f aca="true" t="shared" si="86" ref="F192:Q192">F193+F198</f>
        <v>53.5</v>
      </c>
      <c r="G192" s="68">
        <f t="shared" si="86"/>
        <v>0</v>
      </c>
      <c r="H192" s="68">
        <f t="shared" si="86"/>
        <v>0</v>
      </c>
      <c r="I192" s="70">
        <f t="shared" si="86"/>
        <v>0</v>
      </c>
      <c r="J192" s="68">
        <f t="shared" si="86"/>
        <v>0</v>
      </c>
      <c r="K192" s="68">
        <f t="shared" si="86"/>
        <v>0</v>
      </c>
      <c r="L192" s="68">
        <f t="shared" si="86"/>
        <v>0</v>
      </c>
      <c r="M192" s="68">
        <f t="shared" si="86"/>
        <v>0</v>
      </c>
      <c r="N192" s="168">
        <f t="shared" si="86"/>
        <v>0</v>
      </c>
      <c r="O192" s="68">
        <f t="shared" si="86"/>
        <v>0</v>
      </c>
      <c r="P192" s="68">
        <f t="shared" si="86"/>
        <v>0</v>
      </c>
      <c r="Q192" s="68">
        <f t="shared" si="86"/>
        <v>0</v>
      </c>
      <c r="R192" s="68">
        <f>R193+R198</f>
        <v>0</v>
      </c>
      <c r="S192" s="68">
        <f>S193+S198</f>
        <v>0</v>
      </c>
    </row>
    <row r="193" spans="1:19" s="25" customFormat="1" ht="12.75" hidden="1">
      <c r="A193" s="17"/>
      <c r="B193" s="66" t="s">
        <v>228</v>
      </c>
      <c r="C193" s="41"/>
      <c r="D193" s="83" t="s">
        <v>230</v>
      </c>
      <c r="E193" s="79">
        <f>E194+E196</f>
        <v>53.5</v>
      </c>
      <c r="F193" s="79">
        <f aca="true" t="shared" si="87" ref="F193:Q193">F194+F196</f>
        <v>53.5</v>
      </c>
      <c r="G193" s="79">
        <f t="shared" si="87"/>
        <v>0</v>
      </c>
      <c r="H193" s="79">
        <f t="shared" si="87"/>
        <v>0</v>
      </c>
      <c r="I193" s="96">
        <f t="shared" si="87"/>
        <v>0</v>
      </c>
      <c r="J193" s="79">
        <f t="shared" si="87"/>
        <v>0</v>
      </c>
      <c r="K193" s="79">
        <f t="shared" si="87"/>
        <v>0</v>
      </c>
      <c r="L193" s="79">
        <f t="shared" si="87"/>
        <v>0</v>
      </c>
      <c r="M193" s="79">
        <f t="shared" si="87"/>
        <v>0</v>
      </c>
      <c r="N193" s="170">
        <f t="shared" si="87"/>
        <v>0</v>
      </c>
      <c r="O193" s="79">
        <f t="shared" si="87"/>
        <v>0</v>
      </c>
      <c r="P193" s="79">
        <f t="shared" si="87"/>
        <v>0</v>
      </c>
      <c r="Q193" s="79">
        <f t="shared" si="87"/>
        <v>0</v>
      </c>
      <c r="R193" s="79">
        <f>R194+R196</f>
        <v>0</v>
      </c>
      <c r="S193" s="79">
        <f>S194+S196</f>
        <v>0</v>
      </c>
    </row>
    <row r="194" spans="1:19" s="25" customFormat="1" ht="25.5" hidden="1">
      <c r="A194" s="17"/>
      <c r="B194" s="66" t="s">
        <v>229</v>
      </c>
      <c r="C194" s="41"/>
      <c r="D194" s="83" t="s">
        <v>231</v>
      </c>
      <c r="E194" s="79">
        <f>E195</f>
        <v>7.3</v>
      </c>
      <c r="F194" s="79">
        <f aca="true" t="shared" si="88" ref="F194:S194">F195</f>
        <v>7.3</v>
      </c>
      <c r="G194" s="68">
        <f t="shared" si="88"/>
        <v>0</v>
      </c>
      <c r="H194" s="68">
        <f t="shared" si="88"/>
        <v>0</v>
      </c>
      <c r="I194" s="70">
        <f t="shared" si="88"/>
        <v>0</v>
      </c>
      <c r="J194" s="68">
        <f t="shared" si="88"/>
        <v>0</v>
      </c>
      <c r="K194" s="68">
        <f t="shared" si="88"/>
        <v>0</v>
      </c>
      <c r="L194" s="68">
        <f t="shared" si="88"/>
        <v>0</v>
      </c>
      <c r="M194" s="68">
        <f t="shared" si="88"/>
        <v>0</v>
      </c>
      <c r="N194" s="168">
        <f t="shared" si="88"/>
        <v>0</v>
      </c>
      <c r="O194" s="68">
        <f t="shared" si="88"/>
        <v>0</v>
      </c>
      <c r="P194" s="68">
        <f t="shared" si="88"/>
        <v>0</v>
      </c>
      <c r="Q194" s="68">
        <f t="shared" si="88"/>
        <v>0</v>
      </c>
      <c r="R194" s="68">
        <f t="shared" si="88"/>
        <v>0</v>
      </c>
      <c r="S194" s="68">
        <f t="shared" si="88"/>
        <v>0</v>
      </c>
    </row>
    <row r="195" spans="1:19" s="25" customFormat="1" ht="25.5" hidden="1">
      <c r="A195" s="17"/>
      <c r="B195" s="66"/>
      <c r="C195" s="41" t="s">
        <v>3</v>
      </c>
      <c r="D195" s="67" t="s">
        <v>95</v>
      </c>
      <c r="E195" s="79">
        <f>7.3</f>
        <v>7.3</v>
      </c>
      <c r="F195" s="93">
        <f>E195+SUM(G195:Q195)</f>
        <v>7.3</v>
      </c>
      <c r="G195" s="68"/>
      <c r="H195" s="68"/>
      <c r="I195" s="153"/>
      <c r="J195" s="69"/>
      <c r="K195" s="68"/>
      <c r="L195" s="68"/>
      <c r="M195" s="68"/>
      <c r="N195" s="168"/>
      <c r="O195" s="68"/>
      <c r="P195" s="68"/>
      <c r="Q195" s="68"/>
      <c r="R195" s="68"/>
      <c r="S195" s="68"/>
    </row>
    <row r="196" spans="1:19" s="25" customFormat="1" ht="25.5" hidden="1">
      <c r="A196" s="17"/>
      <c r="B196" s="66" t="s">
        <v>503</v>
      </c>
      <c r="C196" s="41"/>
      <c r="D196" s="67" t="s">
        <v>502</v>
      </c>
      <c r="E196" s="79">
        <f>E197</f>
        <v>46.2</v>
      </c>
      <c r="F196" s="79">
        <f aca="true" t="shared" si="89" ref="F196:S196">F197</f>
        <v>46.2</v>
      </c>
      <c r="G196" s="79">
        <f t="shared" si="89"/>
        <v>0</v>
      </c>
      <c r="H196" s="79">
        <f t="shared" si="89"/>
        <v>0</v>
      </c>
      <c r="I196" s="96">
        <f t="shared" si="89"/>
        <v>0</v>
      </c>
      <c r="J196" s="79">
        <f t="shared" si="89"/>
        <v>0</v>
      </c>
      <c r="K196" s="79">
        <f t="shared" si="89"/>
        <v>0</v>
      </c>
      <c r="L196" s="79">
        <f t="shared" si="89"/>
        <v>0</v>
      </c>
      <c r="M196" s="79">
        <f t="shared" si="89"/>
        <v>0</v>
      </c>
      <c r="N196" s="170">
        <f t="shared" si="89"/>
        <v>0</v>
      </c>
      <c r="O196" s="79">
        <f t="shared" si="89"/>
        <v>0</v>
      </c>
      <c r="P196" s="79">
        <f t="shared" si="89"/>
        <v>0</v>
      </c>
      <c r="Q196" s="79">
        <f t="shared" si="89"/>
        <v>0</v>
      </c>
      <c r="R196" s="79">
        <f t="shared" si="89"/>
        <v>0</v>
      </c>
      <c r="S196" s="79">
        <f t="shared" si="89"/>
        <v>0</v>
      </c>
    </row>
    <row r="197" spans="1:19" s="25" customFormat="1" ht="25.5" hidden="1">
      <c r="A197" s="17"/>
      <c r="B197" s="66"/>
      <c r="C197" s="41" t="s">
        <v>3</v>
      </c>
      <c r="D197" s="67" t="s">
        <v>95</v>
      </c>
      <c r="E197" s="79">
        <f>46.2</f>
        <v>46.2</v>
      </c>
      <c r="F197" s="93">
        <f>E197+SUM(G197:Q197)</f>
        <v>46.2</v>
      </c>
      <c r="G197" s="68"/>
      <c r="H197" s="68"/>
      <c r="I197" s="153"/>
      <c r="J197" s="69"/>
      <c r="K197" s="68"/>
      <c r="L197" s="68"/>
      <c r="M197" s="68"/>
      <c r="N197" s="168"/>
      <c r="O197" s="68"/>
      <c r="P197" s="68"/>
      <c r="Q197" s="68"/>
      <c r="R197" s="68"/>
      <c r="S197" s="68"/>
    </row>
    <row r="198" spans="1:19" s="25" customFormat="1" ht="25.5" hidden="1">
      <c r="A198" s="17"/>
      <c r="B198" s="66" t="s">
        <v>232</v>
      </c>
      <c r="C198" s="41"/>
      <c r="D198" s="83" t="s">
        <v>234</v>
      </c>
      <c r="E198" s="79">
        <f>E199</f>
        <v>0</v>
      </c>
      <c r="F198" s="79">
        <f aca="true" t="shared" si="90" ref="F198:S199">F199</f>
        <v>0</v>
      </c>
      <c r="G198" s="68">
        <f t="shared" si="90"/>
        <v>0</v>
      </c>
      <c r="H198" s="68">
        <f t="shared" si="90"/>
        <v>0</v>
      </c>
      <c r="I198" s="70">
        <f t="shared" si="90"/>
        <v>0</v>
      </c>
      <c r="J198" s="68">
        <f t="shared" si="90"/>
        <v>0</v>
      </c>
      <c r="K198" s="68">
        <f t="shared" si="90"/>
        <v>0</v>
      </c>
      <c r="L198" s="68">
        <f t="shared" si="90"/>
        <v>0</v>
      </c>
      <c r="M198" s="68">
        <f t="shared" si="90"/>
        <v>0</v>
      </c>
      <c r="N198" s="168">
        <f t="shared" si="90"/>
        <v>0</v>
      </c>
      <c r="O198" s="68">
        <f t="shared" si="90"/>
        <v>0</v>
      </c>
      <c r="P198" s="68">
        <f t="shared" si="90"/>
        <v>0</v>
      </c>
      <c r="Q198" s="68">
        <f t="shared" si="90"/>
        <v>0</v>
      </c>
      <c r="R198" s="68">
        <f t="shared" si="90"/>
        <v>0</v>
      </c>
      <c r="S198" s="68">
        <f t="shared" si="90"/>
        <v>0</v>
      </c>
    </row>
    <row r="199" spans="1:19" s="25" customFormat="1" ht="25.5" hidden="1">
      <c r="A199" s="17"/>
      <c r="B199" s="66" t="s">
        <v>233</v>
      </c>
      <c r="C199" s="41"/>
      <c r="D199" s="83" t="s">
        <v>235</v>
      </c>
      <c r="E199" s="79">
        <f>E200</f>
        <v>0</v>
      </c>
      <c r="F199" s="79">
        <f t="shared" si="90"/>
        <v>0</v>
      </c>
      <c r="G199" s="68">
        <f t="shared" si="90"/>
        <v>0</v>
      </c>
      <c r="H199" s="68">
        <f t="shared" si="90"/>
        <v>0</v>
      </c>
      <c r="I199" s="70">
        <f t="shared" si="90"/>
        <v>0</v>
      </c>
      <c r="J199" s="68">
        <f t="shared" si="90"/>
        <v>0</v>
      </c>
      <c r="K199" s="68">
        <f t="shared" si="90"/>
        <v>0</v>
      </c>
      <c r="L199" s="68">
        <f t="shared" si="90"/>
        <v>0</v>
      </c>
      <c r="M199" s="68">
        <f t="shared" si="90"/>
        <v>0</v>
      </c>
      <c r="N199" s="168">
        <f t="shared" si="90"/>
        <v>0</v>
      </c>
      <c r="O199" s="68">
        <f t="shared" si="90"/>
        <v>0</v>
      </c>
      <c r="P199" s="68">
        <f t="shared" si="90"/>
        <v>0</v>
      </c>
      <c r="Q199" s="68">
        <f t="shared" si="90"/>
        <v>0</v>
      </c>
      <c r="R199" s="68">
        <f t="shared" si="90"/>
        <v>0</v>
      </c>
      <c r="S199" s="68">
        <f t="shared" si="90"/>
        <v>0</v>
      </c>
    </row>
    <row r="200" spans="1:19" s="25" customFormat="1" ht="25.5" hidden="1">
      <c r="A200" s="17"/>
      <c r="B200" s="66"/>
      <c r="C200" s="41" t="s">
        <v>3</v>
      </c>
      <c r="D200" s="67" t="s">
        <v>95</v>
      </c>
      <c r="E200" s="79"/>
      <c r="F200" s="93">
        <f>E200+SUM(G200:Q200)</f>
        <v>0</v>
      </c>
      <c r="G200" s="68"/>
      <c r="H200" s="68"/>
      <c r="I200" s="153"/>
      <c r="J200" s="69"/>
      <c r="K200" s="68"/>
      <c r="L200" s="68"/>
      <c r="M200" s="68"/>
      <c r="N200" s="168"/>
      <c r="O200" s="68"/>
      <c r="P200" s="68"/>
      <c r="Q200" s="68"/>
      <c r="R200" s="68"/>
      <c r="S200" s="68"/>
    </row>
    <row r="201" spans="1:19" s="25" customFormat="1" ht="38.25" hidden="1">
      <c r="A201" s="17"/>
      <c r="B201" s="63" t="s">
        <v>372</v>
      </c>
      <c r="C201" s="11"/>
      <c r="D201" s="84" t="s">
        <v>137</v>
      </c>
      <c r="E201" s="95">
        <f aca="true" t="shared" si="91" ref="E201:S204">E202</f>
        <v>593.2</v>
      </c>
      <c r="F201" s="95">
        <f t="shared" si="91"/>
        <v>1049.9693700000003</v>
      </c>
      <c r="G201" s="73">
        <f t="shared" si="91"/>
        <v>0</v>
      </c>
      <c r="H201" s="73">
        <f t="shared" si="91"/>
        <v>0</v>
      </c>
      <c r="I201" s="77">
        <f t="shared" si="91"/>
        <v>0</v>
      </c>
      <c r="J201" s="73">
        <f t="shared" si="91"/>
        <v>833.33333</v>
      </c>
      <c r="K201" s="73">
        <f t="shared" si="91"/>
        <v>-64.9</v>
      </c>
      <c r="L201" s="73">
        <f t="shared" si="91"/>
        <v>-224.16396</v>
      </c>
      <c r="M201" s="73">
        <f t="shared" si="91"/>
        <v>0</v>
      </c>
      <c r="N201" s="123">
        <f t="shared" si="91"/>
        <v>0</v>
      </c>
      <c r="O201" s="73">
        <f t="shared" si="91"/>
        <v>-87.5</v>
      </c>
      <c r="P201" s="73">
        <f t="shared" si="91"/>
        <v>0</v>
      </c>
      <c r="Q201" s="73">
        <f t="shared" si="91"/>
        <v>0</v>
      </c>
      <c r="R201" s="73">
        <f t="shared" si="91"/>
        <v>0</v>
      </c>
      <c r="S201" s="73">
        <f t="shared" si="91"/>
        <v>0</v>
      </c>
    </row>
    <row r="202" spans="1:19" s="25" customFormat="1" ht="12.75" hidden="1">
      <c r="A202" s="17"/>
      <c r="B202" s="82" t="s">
        <v>413</v>
      </c>
      <c r="C202" s="99"/>
      <c r="D202" s="103" t="s">
        <v>416</v>
      </c>
      <c r="E202" s="79">
        <f t="shared" si="91"/>
        <v>593.2</v>
      </c>
      <c r="F202" s="79">
        <f t="shared" si="91"/>
        <v>1049.9693700000003</v>
      </c>
      <c r="G202" s="68">
        <f t="shared" si="91"/>
        <v>0</v>
      </c>
      <c r="H202" s="68">
        <f t="shared" si="91"/>
        <v>0</v>
      </c>
      <c r="I202" s="70">
        <f t="shared" si="91"/>
        <v>0</v>
      </c>
      <c r="J202" s="68">
        <f t="shared" si="91"/>
        <v>833.33333</v>
      </c>
      <c r="K202" s="68">
        <f t="shared" si="91"/>
        <v>-64.9</v>
      </c>
      <c r="L202" s="68">
        <f t="shared" si="91"/>
        <v>-224.16396</v>
      </c>
      <c r="M202" s="68">
        <f t="shared" si="91"/>
        <v>0</v>
      </c>
      <c r="N202" s="168">
        <f t="shared" si="91"/>
        <v>0</v>
      </c>
      <c r="O202" s="68">
        <f t="shared" si="91"/>
        <v>-87.5</v>
      </c>
      <c r="P202" s="68">
        <f t="shared" si="91"/>
        <v>0</v>
      </c>
      <c r="Q202" s="68">
        <f t="shared" si="91"/>
        <v>0</v>
      </c>
      <c r="R202" s="68">
        <f t="shared" si="91"/>
        <v>0</v>
      </c>
      <c r="S202" s="68">
        <f t="shared" si="91"/>
        <v>0</v>
      </c>
    </row>
    <row r="203" spans="1:19" s="25" customFormat="1" ht="12.75" hidden="1">
      <c r="A203" s="17"/>
      <c r="B203" s="66" t="s">
        <v>414</v>
      </c>
      <c r="C203" s="41"/>
      <c r="D203" s="67" t="s">
        <v>417</v>
      </c>
      <c r="E203" s="79">
        <f t="shared" si="91"/>
        <v>593.2</v>
      </c>
      <c r="F203" s="79">
        <f t="shared" si="91"/>
        <v>1049.9693700000003</v>
      </c>
      <c r="G203" s="68">
        <f t="shared" si="91"/>
        <v>0</v>
      </c>
      <c r="H203" s="68">
        <f t="shared" si="91"/>
        <v>0</v>
      </c>
      <c r="I203" s="70">
        <f t="shared" si="91"/>
        <v>0</v>
      </c>
      <c r="J203" s="68">
        <f t="shared" si="91"/>
        <v>833.33333</v>
      </c>
      <c r="K203" s="68">
        <f t="shared" si="91"/>
        <v>-64.9</v>
      </c>
      <c r="L203" s="68">
        <f t="shared" si="91"/>
        <v>-224.16396</v>
      </c>
      <c r="M203" s="68">
        <f t="shared" si="91"/>
        <v>0</v>
      </c>
      <c r="N203" s="168">
        <f t="shared" si="91"/>
        <v>0</v>
      </c>
      <c r="O203" s="68">
        <f t="shared" si="91"/>
        <v>-87.5</v>
      </c>
      <c r="P203" s="68">
        <f t="shared" si="91"/>
        <v>0</v>
      </c>
      <c r="Q203" s="68">
        <f t="shared" si="91"/>
        <v>0</v>
      </c>
      <c r="R203" s="68">
        <f t="shared" si="91"/>
        <v>0</v>
      </c>
      <c r="S203" s="68">
        <f t="shared" si="91"/>
        <v>0</v>
      </c>
    </row>
    <row r="204" spans="1:19" s="25" customFormat="1" ht="12.75" hidden="1">
      <c r="A204" s="17"/>
      <c r="B204" s="66" t="s">
        <v>415</v>
      </c>
      <c r="C204" s="41"/>
      <c r="D204" s="67" t="s">
        <v>418</v>
      </c>
      <c r="E204" s="79">
        <f t="shared" si="91"/>
        <v>593.2</v>
      </c>
      <c r="F204" s="79">
        <f t="shared" si="91"/>
        <v>1049.9693700000003</v>
      </c>
      <c r="G204" s="68">
        <f t="shared" si="91"/>
        <v>0</v>
      </c>
      <c r="H204" s="68">
        <f t="shared" si="91"/>
        <v>0</v>
      </c>
      <c r="I204" s="70">
        <f t="shared" si="91"/>
        <v>0</v>
      </c>
      <c r="J204" s="68">
        <f t="shared" si="91"/>
        <v>833.33333</v>
      </c>
      <c r="K204" s="68">
        <f t="shared" si="91"/>
        <v>-64.9</v>
      </c>
      <c r="L204" s="68">
        <f t="shared" si="91"/>
        <v>-224.16396</v>
      </c>
      <c r="M204" s="68">
        <f t="shared" si="91"/>
        <v>0</v>
      </c>
      <c r="N204" s="168">
        <f t="shared" si="91"/>
        <v>0</v>
      </c>
      <c r="O204" s="68">
        <f t="shared" si="91"/>
        <v>-87.5</v>
      </c>
      <c r="P204" s="68">
        <f t="shared" si="91"/>
        <v>0</v>
      </c>
      <c r="Q204" s="68">
        <f t="shared" si="91"/>
        <v>0</v>
      </c>
      <c r="R204" s="68">
        <f t="shared" si="91"/>
        <v>0</v>
      </c>
      <c r="S204" s="68">
        <f t="shared" si="91"/>
        <v>0</v>
      </c>
    </row>
    <row r="205" spans="1:19" s="25" customFormat="1" ht="25.5" hidden="1">
      <c r="A205" s="17"/>
      <c r="B205" s="66"/>
      <c r="C205" s="41" t="s">
        <v>3</v>
      </c>
      <c r="D205" s="67" t="s">
        <v>95</v>
      </c>
      <c r="E205" s="79">
        <v>593.2</v>
      </c>
      <c r="F205" s="93">
        <f>E205+SUM(G205:Q205)</f>
        <v>1049.9693700000003</v>
      </c>
      <c r="G205" s="68"/>
      <c r="H205" s="68"/>
      <c r="I205" s="153"/>
      <c r="J205" s="69">
        <v>833.33333</v>
      </c>
      <c r="K205" s="68">
        <v>-64.9</v>
      </c>
      <c r="L205" s="70">
        <f>-224.14396-0.02</f>
        <v>-224.16396</v>
      </c>
      <c r="M205" s="68"/>
      <c r="N205" s="168"/>
      <c r="O205" s="68">
        <f>-87.5</f>
        <v>-87.5</v>
      </c>
      <c r="P205" s="68"/>
      <c r="Q205" s="68"/>
      <c r="R205" s="68"/>
      <c r="S205" s="68"/>
    </row>
    <row r="206" spans="1:19" s="24" customFormat="1" ht="12">
      <c r="A206" s="5" t="s">
        <v>13</v>
      </c>
      <c r="B206" s="16"/>
      <c r="C206" s="5"/>
      <c r="D206" s="13" t="s">
        <v>14</v>
      </c>
      <c r="E206" s="119">
        <f>E207+E211+E228+E241</f>
        <v>41495.5</v>
      </c>
      <c r="F206" s="121">
        <f aca="true" t="shared" si="92" ref="F206:Q206">F207+F211+F228+F241</f>
        <v>50679.32434</v>
      </c>
      <c r="G206" s="119">
        <f t="shared" si="92"/>
        <v>0</v>
      </c>
      <c r="H206" s="119">
        <f t="shared" si="92"/>
        <v>10486</v>
      </c>
      <c r="I206" s="119">
        <f t="shared" si="92"/>
        <v>-1553.1756599999999</v>
      </c>
      <c r="J206" s="119">
        <f t="shared" si="92"/>
        <v>-135</v>
      </c>
      <c r="K206" s="119">
        <f t="shared" si="92"/>
        <v>0</v>
      </c>
      <c r="L206" s="119">
        <f t="shared" si="92"/>
        <v>2500</v>
      </c>
      <c r="M206" s="119">
        <f t="shared" si="92"/>
        <v>0</v>
      </c>
      <c r="N206" s="171">
        <f t="shared" si="92"/>
        <v>-711.4</v>
      </c>
      <c r="O206" s="119">
        <f t="shared" si="92"/>
        <v>-1402.6</v>
      </c>
      <c r="P206" s="119">
        <f t="shared" si="92"/>
        <v>0</v>
      </c>
      <c r="Q206" s="119">
        <f t="shared" si="92"/>
        <v>0</v>
      </c>
      <c r="R206" s="119">
        <f>R207+R211+R228+R241</f>
        <v>0</v>
      </c>
      <c r="S206" s="119">
        <f>S207+S211+S228+S241</f>
        <v>0</v>
      </c>
    </row>
    <row r="207" spans="1:20" s="25" customFormat="1" ht="51" hidden="1">
      <c r="A207" s="17"/>
      <c r="B207" s="63" t="s">
        <v>192</v>
      </c>
      <c r="C207" s="11"/>
      <c r="D207" s="60" t="s">
        <v>113</v>
      </c>
      <c r="E207" s="94">
        <f aca="true" t="shared" si="93" ref="E207:S209">E208</f>
        <v>0</v>
      </c>
      <c r="F207" s="94">
        <f t="shared" si="93"/>
        <v>0</v>
      </c>
      <c r="G207" s="71">
        <f t="shared" si="93"/>
        <v>0</v>
      </c>
      <c r="H207" s="71">
        <f t="shared" si="93"/>
        <v>0</v>
      </c>
      <c r="I207" s="156">
        <f t="shared" si="93"/>
        <v>0</v>
      </c>
      <c r="J207" s="71">
        <f t="shared" si="93"/>
        <v>0</v>
      </c>
      <c r="K207" s="71">
        <f t="shared" si="93"/>
        <v>0</v>
      </c>
      <c r="L207" s="71">
        <f t="shared" si="93"/>
        <v>0</v>
      </c>
      <c r="M207" s="71">
        <f t="shared" si="93"/>
        <v>0</v>
      </c>
      <c r="N207" s="174">
        <f t="shared" si="93"/>
        <v>0</v>
      </c>
      <c r="O207" s="71">
        <f t="shared" si="93"/>
        <v>0</v>
      </c>
      <c r="P207" s="71">
        <f t="shared" si="93"/>
        <v>0</v>
      </c>
      <c r="Q207" s="71">
        <f t="shared" si="93"/>
        <v>0</v>
      </c>
      <c r="R207" s="71">
        <f t="shared" si="93"/>
        <v>0</v>
      </c>
      <c r="S207" s="71">
        <f t="shared" si="93"/>
        <v>0</v>
      </c>
      <c r="T207" s="24"/>
    </row>
    <row r="208" spans="1:20" s="25" customFormat="1" ht="38.25" hidden="1">
      <c r="A208" s="17"/>
      <c r="B208" s="82" t="s">
        <v>197</v>
      </c>
      <c r="C208" s="41"/>
      <c r="D208" s="61" t="s">
        <v>198</v>
      </c>
      <c r="E208" s="79">
        <f t="shared" si="93"/>
        <v>0</v>
      </c>
      <c r="F208" s="79">
        <f t="shared" si="93"/>
        <v>0</v>
      </c>
      <c r="G208" s="68">
        <f t="shared" si="93"/>
        <v>0</v>
      </c>
      <c r="H208" s="68">
        <f t="shared" si="93"/>
        <v>0</v>
      </c>
      <c r="I208" s="70">
        <f t="shared" si="93"/>
        <v>0</v>
      </c>
      <c r="J208" s="68">
        <f t="shared" si="93"/>
        <v>0</v>
      </c>
      <c r="K208" s="68">
        <f t="shared" si="93"/>
        <v>0</v>
      </c>
      <c r="L208" s="68">
        <f t="shared" si="93"/>
        <v>0</v>
      </c>
      <c r="M208" s="68">
        <f t="shared" si="93"/>
        <v>0</v>
      </c>
      <c r="N208" s="168">
        <f t="shared" si="93"/>
        <v>0</v>
      </c>
      <c r="O208" s="68">
        <f t="shared" si="93"/>
        <v>0</v>
      </c>
      <c r="P208" s="68">
        <f t="shared" si="93"/>
        <v>0</v>
      </c>
      <c r="Q208" s="68">
        <f t="shared" si="93"/>
        <v>0</v>
      </c>
      <c r="R208" s="68">
        <f t="shared" si="93"/>
        <v>0</v>
      </c>
      <c r="S208" s="68">
        <f t="shared" si="93"/>
        <v>0</v>
      </c>
      <c r="T208" s="24"/>
    </row>
    <row r="209" spans="1:20" s="25" customFormat="1" ht="38.25" hidden="1">
      <c r="A209" s="17"/>
      <c r="B209" s="66" t="s">
        <v>334</v>
      </c>
      <c r="C209" s="41"/>
      <c r="D209" s="57" t="s">
        <v>199</v>
      </c>
      <c r="E209" s="79">
        <f t="shared" si="93"/>
        <v>0</v>
      </c>
      <c r="F209" s="79">
        <f t="shared" si="93"/>
        <v>0</v>
      </c>
      <c r="G209" s="68">
        <f t="shared" si="93"/>
        <v>0</v>
      </c>
      <c r="H209" s="68">
        <f t="shared" si="93"/>
        <v>0</v>
      </c>
      <c r="I209" s="70">
        <f t="shared" si="93"/>
        <v>0</v>
      </c>
      <c r="J209" s="68">
        <f t="shared" si="93"/>
        <v>0</v>
      </c>
      <c r="K209" s="68">
        <f t="shared" si="93"/>
        <v>0</v>
      </c>
      <c r="L209" s="68">
        <f t="shared" si="93"/>
        <v>0</v>
      </c>
      <c r="M209" s="68">
        <f t="shared" si="93"/>
        <v>0</v>
      </c>
      <c r="N209" s="168">
        <f t="shared" si="93"/>
        <v>0</v>
      </c>
      <c r="O209" s="68">
        <f t="shared" si="93"/>
        <v>0</v>
      </c>
      <c r="P209" s="68">
        <f t="shared" si="93"/>
        <v>0</v>
      </c>
      <c r="Q209" s="68">
        <f t="shared" si="93"/>
        <v>0</v>
      </c>
      <c r="R209" s="68">
        <f t="shared" si="93"/>
        <v>0</v>
      </c>
      <c r="S209" s="68">
        <f t="shared" si="93"/>
        <v>0</v>
      </c>
      <c r="T209" s="24"/>
    </row>
    <row r="210" spans="1:20" s="25" customFormat="1" ht="25.5" hidden="1">
      <c r="A210" s="17"/>
      <c r="B210" s="66"/>
      <c r="C210" s="41" t="s">
        <v>3</v>
      </c>
      <c r="D210" s="67" t="s">
        <v>95</v>
      </c>
      <c r="E210" s="79"/>
      <c r="F210" s="93">
        <f>E210+SUM(G210:Q210)</f>
        <v>0</v>
      </c>
      <c r="G210" s="68"/>
      <c r="H210" s="68"/>
      <c r="I210" s="153"/>
      <c r="J210" s="69"/>
      <c r="K210" s="68"/>
      <c r="L210" s="68"/>
      <c r="M210" s="68"/>
      <c r="N210" s="168"/>
      <c r="O210" s="68"/>
      <c r="P210" s="68"/>
      <c r="Q210" s="68"/>
      <c r="R210" s="68"/>
      <c r="S210" s="68"/>
      <c r="T210" s="24"/>
    </row>
    <row r="211" spans="1:20" s="25" customFormat="1" ht="51" hidden="1">
      <c r="A211" s="17"/>
      <c r="B211" s="63" t="s">
        <v>339</v>
      </c>
      <c r="C211" s="11"/>
      <c r="D211" s="84" t="s">
        <v>133</v>
      </c>
      <c r="E211" s="95">
        <f>E212</f>
        <v>0</v>
      </c>
      <c r="F211" s="95">
        <f aca="true" t="shared" si="94" ref="F211:K211">F212</f>
        <v>0</v>
      </c>
      <c r="G211" s="95">
        <f t="shared" si="94"/>
        <v>0</v>
      </c>
      <c r="H211" s="95">
        <f t="shared" si="94"/>
        <v>0</v>
      </c>
      <c r="I211" s="131">
        <f t="shared" si="94"/>
        <v>0</v>
      </c>
      <c r="J211" s="95">
        <f t="shared" si="94"/>
        <v>0</v>
      </c>
      <c r="K211" s="95">
        <f t="shared" si="94"/>
        <v>0</v>
      </c>
      <c r="L211" s="95">
        <f aca="true" t="shared" si="95" ref="L211:S211">L212</f>
        <v>0</v>
      </c>
      <c r="M211" s="95">
        <f t="shared" si="95"/>
        <v>0</v>
      </c>
      <c r="N211" s="169">
        <f t="shared" si="95"/>
        <v>0</v>
      </c>
      <c r="O211" s="95">
        <f t="shared" si="95"/>
        <v>0</v>
      </c>
      <c r="P211" s="95">
        <f t="shared" si="95"/>
        <v>0</v>
      </c>
      <c r="Q211" s="95">
        <f t="shared" si="95"/>
        <v>0</v>
      </c>
      <c r="R211" s="95">
        <f t="shared" si="95"/>
        <v>0</v>
      </c>
      <c r="S211" s="95">
        <f t="shared" si="95"/>
        <v>0</v>
      </c>
      <c r="T211" s="24"/>
    </row>
    <row r="212" spans="1:20" s="25" customFormat="1" ht="38.25" hidden="1">
      <c r="A212" s="17"/>
      <c r="B212" s="82" t="s">
        <v>353</v>
      </c>
      <c r="C212" s="41"/>
      <c r="D212" s="85" t="s">
        <v>135</v>
      </c>
      <c r="E212" s="79">
        <f>E213+E216+E219+E224+E225</f>
        <v>0</v>
      </c>
      <c r="F212" s="79">
        <f aca="true" t="shared" si="96" ref="F212:K212">F213+F216+F219+F224+F225</f>
        <v>0</v>
      </c>
      <c r="G212" s="79">
        <f t="shared" si="96"/>
        <v>0</v>
      </c>
      <c r="H212" s="79">
        <f t="shared" si="96"/>
        <v>0</v>
      </c>
      <c r="I212" s="96">
        <f t="shared" si="96"/>
        <v>0</v>
      </c>
      <c r="J212" s="79">
        <f t="shared" si="96"/>
        <v>0</v>
      </c>
      <c r="K212" s="79">
        <f t="shared" si="96"/>
        <v>0</v>
      </c>
      <c r="L212" s="79">
        <f aca="true" t="shared" si="97" ref="L212:Q212">L213+L216+L219+L224</f>
        <v>0</v>
      </c>
      <c r="M212" s="79">
        <f t="shared" si="97"/>
        <v>0</v>
      </c>
      <c r="N212" s="170">
        <f t="shared" si="97"/>
        <v>0</v>
      </c>
      <c r="O212" s="79">
        <f t="shared" si="97"/>
        <v>0</v>
      </c>
      <c r="P212" s="79">
        <f t="shared" si="97"/>
        <v>0</v>
      </c>
      <c r="Q212" s="79">
        <f t="shared" si="97"/>
        <v>0</v>
      </c>
      <c r="R212" s="79">
        <f>R213+R216+R219+R224</f>
        <v>0</v>
      </c>
      <c r="S212" s="79">
        <f>S213+S216+S219+S224</f>
        <v>0</v>
      </c>
      <c r="T212" s="24"/>
    </row>
    <row r="213" spans="1:19" s="24" customFormat="1" ht="25.5" hidden="1">
      <c r="A213" s="5"/>
      <c r="B213" s="66" t="s">
        <v>357</v>
      </c>
      <c r="C213" s="41"/>
      <c r="D213" s="83" t="s">
        <v>359</v>
      </c>
      <c r="E213" s="79">
        <f aca="true" t="shared" si="98" ref="E213:S214">E214</f>
        <v>0</v>
      </c>
      <c r="F213" s="79">
        <f t="shared" si="98"/>
        <v>0</v>
      </c>
      <c r="G213" s="68">
        <f t="shared" si="98"/>
        <v>0</v>
      </c>
      <c r="H213" s="68">
        <f t="shared" si="98"/>
        <v>0</v>
      </c>
      <c r="I213" s="70">
        <f t="shared" si="98"/>
        <v>0</v>
      </c>
      <c r="J213" s="68">
        <f t="shared" si="98"/>
        <v>0</v>
      </c>
      <c r="K213" s="68">
        <f t="shared" si="98"/>
        <v>0</v>
      </c>
      <c r="L213" s="68">
        <f t="shared" si="98"/>
        <v>0</v>
      </c>
      <c r="M213" s="68">
        <f t="shared" si="98"/>
        <v>0</v>
      </c>
      <c r="N213" s="168">
        <f t="shared" si="98"/>
        <v>0</v>
      </c>
      <c r="O213" s="68">
        <f t="shared" si="98"/>
        <v>0</v>
      </c>
      <c r="P213" s="68">
        <f t="shared" si="98"/>
        <v>0</v>
      </c>
      <c r="Q213" s="68">
        <f t="shared" si="98"/>
        <v>0</v>
      </c>
      <c r="R213" s="68">
        <f t="shared" si="98"/>
        <v>0</v>
      </c>
      <c r="S213" s="68">
        <f t="shared" si="98"/>
        <v>0</v>
      </c>
    </row>
    <row r="214" spans="1:19" s="24" customFormat="1" ht="38.25" hidden="1">
      <c r="A214" s="5"/>
      <c r="B214" s="66" t="s">
        <v>358</v>
      </c>
      <c r="C214" s="41"/>
      <c r="D214" s="83" t="s">
        <v>360</v>
      </c>
      <c r="E214" s="79">
        <f t="shared" si="98"/>
        <v>0</v>
      </c>
      <c r="F214" s="79">
        <f t="shared" si="98"/>
        <v>0</v>
      </c>
      <c r="G214" s="68">
        <f t="shared" si="98"/>
        <v>0</v>
      </c>
      <c r="H214" s="68">
        <f t="shared" si="98"/>
        <v>0</v>
      </c>
      <c r="I214" s="70">
        <f t="shared" si="98"/>
        <v>0</v>
      </c>
      <c r="J214" s="68">
        <f t="shared" si="98"/>
        <v>0</v>
      </c>
      <c r="K214" s="68">
        <f t="shared" si="98"/>
        <v>0</v>
      </c>
      <c r="L214" s="68">
        <f t="shared" si="98"/>
        <v>0</v>
      </c>
      <c r="M214" s="68">
        <f t="shared" si="98"/>
        <v>0</v>
      </c>
      <c r="N214" s="168">
        <f t="shared" si="98"/>
        <v>0</v>
      </c>
      <c r="O214" s="68">
        <f t="shared" si="98"/>
        <v>0</v>
      </c>
      <c r="P214" s="68">
        <f t="shared" si="98"/>
        <v>0</v>
      </c>
      <c r="Q214" s="68">
        <f t="shared" si="98"/>
        <v>0</v>
      </c>
      <c r="R214" s="68">
        <f t="shared" si="98"/>
        <v>0</v>
      </c>
      <c r="S214" s="68">
        <f t="shared" si="98"/>
        <v>0</v>
      </c>
    </row>
    <row r="215" spans="1:19" s="110" customFormat="1" ht="38.25" hidden="1">
      <c r="A215" s="102"/>
      <c r="B215" s="66"/>
      <c r="C215" s="41" t="s">
        <v>10</v>
      </c>
      <c r="D215" s="75" t="s">
        <v>99</v>
      </c>
      <c r="E215" s="79"/>
      <c r="F215" s="93">
        <f>E215+SUM(G215:Q215)</f>
        <v>0</v>
      </c>
      <c r="G215" s="68"/>
      <c r="H215" s="68"/>
      <c r="I215" s="153"/>
      <c r="J215" s="69"/>
      <c r="K215" s="68"/>
      <c r="L215" s="68"/>
      <c r="M215" s="68"/>
      <c r="N215" s="168"/>
      <c r="O215" s="68"/>
      <c r="P215" s="68"/>
      <c r="Q215" s="68"/>
      <c r="R215" s="68"/>
      <c r="S215" s="68"/>
    </row>
    <row r="216" spans="1:19" s="110" customFormat="1" ht="51" hidden="1">
      <c r="A216" s="102"/>
      <c r="B216" s="106" t="s">
        <v>361</v>
      </c>
      <c r="C216" s="107"/>
      <c r="D216" s="105" t="s">
        <v>363</v>
      </c>
      <c r="E216" s="79">
        <f>E217</f>
        <v>0</v>
      </c>
      <c r="F216" s="79">
        <f aca="true" t="shared" si="99" ref="F216:S217">F217</f>
        <v>0</v>
      </c>
      <c r="G216" s="79">
        <f t="shared" si="99"/>
        <v>0</v>
      </c>
      <c r="H216" s="79">
        <f t="shared" si="99"/>
        <v>0</v>
      </c>
      <c r="I216" s="96">
        <f t="shared" si="99"/>
        <v>0</v>
      </c>
      <c r="J216" s="79">
        <f t="shared" si="99"/>
        <v>0</v>
      </c>
      <c r="K216" s="79">
        <f t="shared" si="99"/>
        <v>0</v>
      </c>
      <c r="L216" s="79">
        <f t="shared" si="99"/>
        <v>0</v>
      </c>
      <c r="M216" s="79">
        <f t="shared" si="99"/>
        <v>0</v>
      </c>
      <c r="N216" s="170">
        <f t="shared" si="99"/>
        <v>0</v>
      </c>
      <c r="O216" s="79">
        <f t="shared" si="99"/>
        <v>0</v>
      </c>
      <c r="P216" s="79">
        <f t="shared" si="99"/>
        <v>0</v>
      </c>
      <c r="Q216" s="79">
        <f t="shared" si="99"/>
        <v>0</v>
      </c>
      <c r="R216" s="79">
        <f t="shared" si="99"/>
        <v>0</v>
      </c>
      <c r="S216" s="79">
        <f t="shared" si="99"/>
        <v>0</v>
      </c>
    </row>
    <row r="217" spans="1:19" s="110" customFormat="1" ht="38.25" hidden="1">
      <c r="A217" s="102"/>
      <c r="B217" s="106" t="s">
        <v>362</v>
      </c>
      <c r="C217" s="107"/>
      <c r="D217" s="105" t="s">
        <v>360</v>
      </c>
      <c r="E217" s="79">
        <f>E218</f>
        <v>0</v>
      </c>
      <c r="F217" s="79">
        <f t="shared" si="99"/>
        <v>0</v>
      </c>
      <c r="G217" s="79">
        <f t="shared" si="99"/>
        <v>0</v>
      </c>
      <c r="H217" s="79">
        <f t="shared" si="99"/>
        <v>0</v>
      </c>
      <c r="I217" s="96">
        <f t="shared" si="99"/>
        <v>0</v>
      </c>
      <c r="J217" s="79">
        <f t="shared" si="99"/>
        <v>0</v>
      </c>
      <c r="K217" s="79">
        <f t="shared" si="99"/>
        <v>0</v>
      </c>
      <c r="L217" s="79">
        <f t="shared" si="99"/>
        <v>0</v>
      </c>
      <c r="M217" s="79">
        <f t="shared" si="99"/>
        <v>0</v>
      </c>
      <c r="N217" s="170">
        <f t="shared" si="99"/>
        <v>0</v>
      </c>
      <c r="O217" s="79">
        <f t="shared" si="99"/>
        <v>0</v>
      </c>
      <c r="P217" s="79">
        <f t="shared" si="99"/>
        <v>0</v>
      </c>
      <c r="Q217" s="79">
        <f t="shared" si="99"/>
        <v>0</v>
      </c>
      <c r="R217" s="79">
        <f t="shared" si="99"/>
        <v>0</v>
      </c>
      <c r="S217" s="79">
        <f t="shared" si="99"/>
        <v>0</v>
      </c>
    </row>
    <row r="218" spans="1:19" s="110" customFormat="1" ht="38.25" hidden="1">
      <c r="A218" s="102"/>
      <c r="B218" s="106"/>
      <c r="C218" s="107" t="s">
        <v>10</v>
      </c>
      <c r="D218" s="109" t="s">
        <v>99</v>
      </c>
      <c r="E218" s="79"/>
      <c r="F218" s="93">
        <f>E218+SUM(G218:Q218)</f>
        <v>0</v>
      </c>
      <c r="G218" s="79"/>
      <c r="H218" s="79"/>
      <c r="I218" s="159"/>
      <c r="J218" s="92"/>
      <c r="K218" s="79"/>
      <c r="L218" s="79"/>
      <c r="M218" s="79"/>
      <c r="N218" s="170"/>
      <c r="O218" s="79"/>
      <c r="P218" s="79"/>
      <c r="Q218" s="79"/>
      <c r="R218" s="79"/>
      <c r="S218" s="79"/>
    </row>
    <row r="219" spans="1:19" s="110" customFormat="1" ht="38.25" hidden="1">
      <c r="A219" s="102"/>
      <c r="B219" s="66" t="s">
        <v>364</v>
      </c>
      <c r="C219" s="41"/>
      <c r="D219" s="83" t="s">
        <v>365</v>
      </c>
      <c r="E219" s="79">
        <f>E220</f>
        <v>0</v>
      </c>
      <c r="F219" s="79">
        <f aca="true" t="shared" si="100" ref="F219:S220">F220</f>
        <v>0</v>
      </c>
      <c r="G219" s="68">
        <f t="shared" si="100"/>
        <v>0</v>
      </c>
      <c r="H219" s="68">
        <f t="shared" si="100"/>
        <v>0</v>
      </c>
      <c r="I219" s="70">
        <f t="shared" si="100"/>
        <v>0</v>
      </c>
      <c r="J219" s="68">
        <f t="shared" si="100"/>
        <v>0</v>
      </c>
      <c r="K219" s="68">
        <f t="shared" si="100"/>
        <v>0</v>
      </c>
      <c r="L219" s="68">
        <f t="shared" si="100"/>
        <v>0</v>
      </c>
      <c r="M219" s="68">
        <f t="shared" si="100"/>
        <v>0</v>
      </c>
      <c r="N219" s="168">
        <f t="shared" si="100"/>
        <v>0</v>
      </c>
      <c r="O219" s="68">
        <f t="shared" si="100"/>
        <v>0</v>
      </c>
      <c r="P219" s="68">
        <f t="shared" si="100"/>
        <v>0</v>
      </c>
      <c r="Q219" s="68">
        <f t="shared" si="100"/>
        <v>0</v>
      </c>
      <c r="R219" s="68">
        <f t="shared" si="100"/>
        <v>0</v>
      </c>
      <c r="S219" s="68">
        <f t="shared" si="100"/>
        <v>0</v>
      </c>
    </row>
    <row r="220" spans="1:19" s="110" customFormat="1" ht="38.25" hidden="1">
      <c r="A220" s="102"/>
      <c r="B220" s="66" t="s">
        <v>366</v>
      </c>
      <c r="C220" s="41"/>
      <c r="D220" s="83" t="s">
        <v>360</v>
      </c>
      <c r="E220" s="79">
        <f>E221</f>
        <v>0</v>
      </c>
      <c r="F220" s="79">
        <f t="shared" si="100"/>
        <v>0</v>
      </c>
      <c r="G220" s="68">
        <f t="shared" si="100"/>
        <v>0</v>
      </c>
      <c r="H220" s="68">
        <f t="shared" si="100"/>
        <v>0</v>
      </c>
      <c r="I220" s="70">
        <f t="shared" si="100"/>
        <v>0</v>
      </c>
      <c r="J220" s="68">
        <f t="shared" si="100"/>
        <v>0</v>
      </c>
      <c r="K220" s="68">
        <f t="shared" si="100"/>
        <v>0</v>
      </c>
      <c r="L220" s="68">
        <f t="shared" si="100"/>
        <v>0</v>
      </c>
      <c r="M220" s="68">
        <f t="shared" si="100"/>
        <v>0</v>
      </c>
      <c r="N220" s="168">
        <f t="shared" si="100"/>
        <v>0</v>
      </c>
      <c r="O220" s="68">
        <f t="shared" si="100"/>
        <v>0</v>
      </c>
      <c r="P220" s="68">
        <f t="shared" si="100"/>
        <v>0</v>
      </c>
      <c r="Q220" s="68">
        <f t="shared" si="100"/>
        <v>0</v>
      </c>
      <c r="R220" s="68">
        <f t="shared" si="100"/>
        <v>0</v>
      </c>
      <c r="S220" s="68">
        <f t="shared" si="100"/>
        <v>0</v>
      </c>
    </row>
    <row r="221" spans="1:19" s="110" customFormat="1" ht="38.25" hidden="1">
      <c r="A221" s="102"/>
      <c r="B221" s="66"/>
      <c r="C221" s="41" t="s">
        <v>10</v>
      </c>
      <c r="D221" s="109" t="s">
        <v>99</v>
      </c>
      <c r="E221" s="79"/>
      <c r="F221" s="93">
        <f>E221+SUM(G221:Q221)</f>
        <v>0</v>
      </c>
      <c r="G221" s="68"/>
      <c r="H221" s="68"/>
      <c r="I221" s="70"/>
      <c r="J221" s="68"/>
      <c r="K221" s="68"/>
      <c r="L221" s="68"/>
      <c r="M221" s="68"/>
      <c r="N221" s="168"/>
      <c r="O221" s="68"/>
      <c r="P221" s="68"/>
      <c r="Q221" s="68"/>
      <c r="R221" s="68"/>
      <c r="S221" s="68"/>
    </row>
    <row r="222" spans="1:19" s="110" customFormat="1" ht="38.25" hidden="1">
      <c r="A222" s="102"/>
      <c r="B222" s="66" t="s">
        <v>441</v>
      </c>
      <c r="C222" s="41"/>
      <c r="D222" s="83" t="s">
        <v>440</v>
      </c>
      <c r="E222" s="68">
        <f>E223</f>
        <v>0</v>
      </c>
      <c r="F222" s="68">
        <f aca="true" t="shared" si="101" ref="F222:K222">F223</f>
        <v>0</v>
      </c>
      <c r="G222" s="68">
        <f t="shared" si="101"/>
        <v>0</v>
      </c>
      <c r="H222" s="68">
        <f t="shared" si="101"/>
        <v>0</v>
      </c>
      <c r="I222" s="70">
        <f t="shared" si="101"/>
        <v>0</v>
      </c>
      <c r="J222" s="68">
        <f t="shared" si="101"/>
        <v>0</v>
      </c>
      <c r="K222" s="68">
        <f t="shared" si="101"/>
        <v>0</v>
      </c>
      <c r="L222" s="68">
        <f aca="true" t="shared" si="102" ref="F222:S223">L223</f>
        <v>0</v>
      </c>
      <c r="M222" s="68">
        <f t="shared" si="102"/>
        <v>0</v>
      </c>
      <c r="N222" s="168">
        <f t="shared" si="102"/>
        <v>0</v>
      </c>
      <c r="O222" s="68">
        <f t="shared" si="102"/>
        <v>0</v>
      </c>
      <c r="P222" s="68">
        <f t="shared" si="102"/>
        <v>0</v>
      </c>
      <c r="Q222" s="68">
        <f t="shared" si="102"/>
        <v>0</v>
      </c>
      <c r="R222" s="68">
        <f t="shared" si="102"/>
        <v>0</v>
      </c>
      <c r="S222" s="68">
        <f t="shared" si="102"/>
        <v>0</v>
      </c>
    </row>
    <row r="223" spans="1:19" s="110" customFormat="1" ht="38.25" hidden="1">
      <c r="A223" s="102"/>
      <c r="B223" s="66" t="s">
        <v>442</v>
      </c>
      <c r="C223" s="41"/>
      <c r="D223" s="83" t="s">
        <v>360</v>
      </c>
      <c r="E223" s="68">
        <f>E224</f>
        <v>0</v>
      </c>
      <c r="F223" s="68">
        <f t="shared" si="102"/>
        <v>0</v>
      </c>
      <c r="G223" s="68">
        <f t="shared" si="102"/>
        <v>0</v>
      </c>
      <c r="H223" s="68">
        <f t="shared" si="102"/>
        <v>0</v>
      </c>
      <c r="I223" s="70">
        <f t="shared" si="102"/>
        <v>0</v>
      </c>
      <c r="J223" s="68">
        <f t="shared" si="102"/>
        <v>0</v>
      </c>
      <c r="K223" s="68">
        <f t="shared" si="102"/>
        <v>0</v>
      </c>
      <c r="L223" s="68">
        <f t="shared" si="102"/>
        <v>0</v>
      </c>
      <c r="M223" s="68">
        <f t="shared" si="102"/>
        <v>0</v>
      </c>
      <c r="N223" s="168">
        <f t="shared" si="102"/>
        <v>0</v>
      </c>
      <c r="O223" s="68">
        <f t="shared" si="102"/>
        <v>0</v>
      </c>
      <c r="P223" s="68">
        <f t="shared" si="102"/>
        <v>0</v>
      </c>
      <c r="Q223" s="68">
        <f t="shared" si="102"/>
        <v>0</v>
      </c>
      <c r="R223" s="68">
        <f t="shared" si="102"/>
        <v>0</v>
      </c>
      <c r="S223" s="68">
        <f t="shared" si="102"/>
        <v>0</v>
      </c>
    </row>
    <row r="224" spans="1:19" s="110" customFormat="1" ht="38.25" hidden="1">
      <c r="A224" s="102"/>
      <c r="B224" s="66"/>
      <c r="C224" s="41" t="s">
        <v>10</v>
      </c>
      <c r="D224" s="109" t="s">
        <v>99</v>
      </c>
      <c r="E224" s="68"/>
      <c r="F224" s="93">
        <f>E224+SUM(G224:Q224)</f>
        <v>0</v>
      </c>
      <c r="G224" s="68"/>
      <c r="H224" s="68"/>
      <c r="I224" s="70"/>
      <c r="J224" s="68"/>
      <c r="K224" s="68"/>
      <c r="L224" s="68"/>
      <c r="M224" s="68"/>
      <c r="N224" s="168"/>
      <c r="O224" s="68"/>
      <c r="P224" s="68"/>
      <c r="Q224" s="68"/>
      <c r="R224" s="68"/>
      <c r="S224" s="68"/>
    </row>
    <row r="225" spans="1:19" s="110" customFormat="1" ht="38.25" hidden="1">
      <c r="A225" s="102"/>
      <c r="B225" s="66" t="s">
        <v>441</v>
      </c>
      <c r="C225" s="41"/>
      <c r="D225" s="83" t="s">
        <v>454</v>
      </c>
      <c r="E225" s="68">
        <f aca="true" t="shared" si="103" ref="E225:S226">E226</f>
        <v>0</v>
      </c>
      <c r="F225" s="68">
        <f t="shared" si="103"/>
        <v>0</v>
      </c>
      <c r="G225" s="68">
        <f t="shared" si="103"/>
        <v>0</v>
      </c>
      <c r="H225" s="68">
        <f t="shared" si="103"/>
        <v>0</v>
      </c>
      <c r="I225" s="70">
        <f t="shared" si="103"/>
        <v>0</v>
      </c>
      <c r="J225" s="68">
        <f t="shared" si="103"/>
        <v>0</v>
      </c>
      <c r="K225" s="68">
        <f t="shared" si="103"/>
        <v>0</v>
      </c>
      <c r="L225" s="68">
        <f t="shared" si="103"/>
        <v>0</v>
      </c>
      <c r="M225" s="68">
        <f t="shared" si="103"/>
        <v>0</v>
      </c>
      <c r="N225" s="168">
        <f t="shared" si="103"/>
        <v>0</v>
      </c>
      <c r="O225" s="68">
        <f t="shared" si="103"/>
        <v>0</v>
      </c>
      <c r="P225" s="68">
        <f t="shared" si="103"/>
        <v>0</v>
      </c>
      <c r="Q225" s="68">
        <f t="shared" si="103"/>
        <v>0</v>
      </c>
      <c r="R225" s="68">
        <f t="shared" si="103"/>
        <v>0</v>
      </c>
      <c r="S225" s="68">
        <f t="shared" si="103"/>
        <v>0</v>
      </c>
    </row>
    <row r="226" spans="1:19" s="110" customFormat="1" ht="38.25" hidden="1">
      <c r="A226" s="102"/>
      <c r="B226" s="66" t="s">
        <v>442</v>
      </c>
      <c r="C226" s="41"/>
      <c r="D226" s="83" t="s">
        <v>360</v>
      </c>
      <c r="E226" s="68">
        <f t="shared" si="103"/>
        <v>0</v>
      </c>
      <c r="F226" s="68">
        <f t="shared" si="103"/>
        <v>0</v>
      </c>
      <c r="G226" s="68">
        <f t="shared" si="103"/>
        <v>0</v>
      </c>
      <c r="H226" s="68">
        <f t="shared" si="103"/>
        <v>0</v>
      </c>
      <c r="I226" s="70">
        <f t="shared" si="103"/>
        <v>0</v>
      </c>
      <c r="J226" s="68">
        <f t="shared" si="103"/>
        <v>0</v>
      </c>
      <c r="K226" s="68">
        <f t="shared" si="103"/>
        <v>0</v>
      </c>
      <c r="L226" s="68">
        <f t="shared" si="103"/>
        <v>0</v>
      </c>
      <c r="M226" s="68">
        <f t="shared" si="103"/>
        <v>0</v>
      </c>
      <c r="N226" s="168">
        <f t="shared" si="103"/>
        <v>0</v>
      </c>
      <c r="O226" s="68">
        <f t="shared" si="103"/>
        <v>0</v>
      </c>
      <c r="P226" s="68">
        <f t="shared" si="103"/>
        <v>0</v>
      </c>
      <c r="Q226" s="68">
        <f t="shared" si="103"/>
        <v>0</v>
      </c>
      <c r="R226" s="68">
        <f t="shared" si="103"/>
        <v>0</v>
      </c>
      <c r="S226" s="68">
        <f t="shared" si="103"/>
        <v>0</v>
      </c>
    </row>
    <row r="227" spans="1:19" s="110" customFormat="1" ht="38.25" hidden="1">
      <c r="A227" s="102"/>
      <c r="B227" s="66"/>
      <c r="C227" s="41" t="s">
        <v>10</v>
      </c>
      <c r="D227" s="109" t="s">
        <v>99</v>
      </c>
      <c r="E227" s="68"/>
      <c r="F227" s="93">
        <f>E227+SUM(G227:Q227)</f>
        <v>0</v>
      </c>
      <c r="G227" s="68"/>
      <c r="H227" s="68"/>
      <c r="I227" s="70"/>
      <c r="J227" s="68"/>
      <c r="K227" s="68"/>
      <c r="L227" s="68"/>
      <c r="M227" s="68"/>
      <c r="N227" s="168"/>
      <c r="O227" s="68"/>
      <c r="P227" s="68"/>
      <c r="Q227" s="68"/>
      <c r="R227" s="68"/>
      <c r="S227" s="68"/>
    </row>
    <row r="228" spans="1:19" s="24" customFormat="1" ht="38.25" hidden="1">
      <c r="A228" s="5"/>
      <c r="B228" s="63" t="s">
        <v>372</v>
      </c>
      <c r="C228" s="11"/>
      <c r="D228" s="84" t="s">
        <v>137</v>
      </c>
      <c r="E228" s="95">
        <f aca="true" t="shared" si="104" ref="E228:S228">E229</f>
        <v>41495.5</v>
      </c>
      <c r="F228" s="95">
        <f t="shared" si="104"/>
        <v>38788.95434</v>
      </c>
      <c r="G228" s="73">
        <f t="shared" si="104"/>
        <v>0</v>
      </c>
      <c r="H228" s="73">
        <f t="shared" si="104"/>
        <v>10486</v>
      </c>
      <c r="I228" s="77">
        <f t="shared" si="104"/>
        <v>-1553.1756599999999</v>
      </c>
      <c r="J228" s="73">
        <f t="shared" si="104"/>
        <v>-135</v>
      </c>
      <c r="K228" s="73">
        <f t="shared" si="104"/>
        <v>-11890.4</v>
      </c>
      <c r="L228" s="73">
        <f t="shared" si="104"/>
        <v>2500</v>
      </c>
      <c r="M228" s="73">
        <f t="shared" si="104"/>
        <v>0</v>
      </c>
      <c r="N228" s="123">
        <f t="shared" si="104"/>
        <v>-711.37</v>
      </c>
      <c r="O228" s="73">
        <f t="shared" si="104"/>
        <v>-1402.6</v>
      </c>
      <c r="P228" s="73">
        <f t="shared" si="104"/>
        <v>0</v>
      </c>
      <c r="Q228" s="73">
        <f t="shared" si="104"/>
        <v>0</v>
      </c>
      <c r="R228" s="73">
        <f t="shared" si="104"/>
        <v>0</v>
      </c>
      <c r="S228" s="73">
        <f t="shared" si="104"/>
        <v>0</v>
      </c>
    </row>
    <row r="229" spans="1:19" s="24" customFormat="1" ht="25.5" hidden="1">
      <c r="A229" s="5"/>
      <c r="B229" s="82" t="s">
        <v>373</v>
      </c>
      <c r="C229" s="41"/>
      <c r="D229" s="85" t="s">
        <v>138</v>
      </c>
      <c r="E229" s="79">
        <f>E230+E233+E238</f>
        <v>41495.5</v>
      </c>
      <c r="F229" s="79">
        <f aca="true" t="shared" si="105" ref="F229:Q229">F230+F233+F238</f>
        <v>38788.95434</v>
      </c>
      <c r="G229" s="68">
        <f t="shared" si="105"/>
        <v>0</v>
      </c>
      <c r="H229" s="68">
        <f t="shared" si="105"/>
        <v>10486</v>
      </c>
      <c r="I229" s="70">
        <f t="shared" si="105"/>
        <v>-1553.1756599999999</v>
      </c>
      <c r="J229" s="68">
        <f t="shared" si="105"/>
        <v>-135</v>
      </c>
      <c r="K229" s="68">
        <f t="shared" si="105"/>
        <v>-11890.4</v>
      </c>
      <c r="L229" s="68">
        <f t="shared" si="105"/>
        <v>2500</v>
      </c>
      <c r="M229" s="68">
        <f t="shared" si="105"/>
        <v>0</v>
      </c>
      <c r="N229" s="168">
        <f t="shared" si="105"/>
        <v>-711.37</v>
      </c>
      <c r="O229" s="68">
        <f t="shared" si="105"/>
        <v>-1402.6</v>
      </c>
      <c r="P229" s="68">
        <f t="shared" si="105"/>
        <v>0</v>
      </c>
      <c r="Q229" s="68">
        <f t="shared" si="105"/>
        <v>0</v>
      </c>
      <c r="R229" s="68">
        <f>R230+R233+R238</f>
        <v>0</v>
      </c>
      <c r="S229" s="68">
        <f>S230+S233+S238</f>
        <v>0</v>
      </c>
    </row>
    <row r="230" spans="1:20" s="24" customFormat="1" ht="38.25" hidden="1">
      <c r="A230" s="17"/>
      <c r="B230" s="66" t="s">
        <v>374</v>
      </c>
      <c r="C230" s="41"/>
      <c r="D230" s="83" t="s">
        <v>376</v>
      </c>
      <c r="E230" s="79">
        <f>E231</f>
        <v>33295.5</v>
      </c>
      <c r="F230" s="79">
        <f aca="true" t="shared" si="106" ref="F230:S231">F231</f>
        <v>35317.505</v>
      </c>
      <c r="G230" s="68">
        <f t="shared" si="106"/>
        <v>0</v>
      </c>
      <c r="H230" s="68">
        <f t="shared" si="106"/>
        <v>0</v>
      </c>
      <c r="I230" s="70">
        <f t="shared" si="106"/>
        <v>883.205</v>
      </c>
      <c r="J230" s="68">
        <f t="shared" si="106"/>
        <v>-135</v>
      </c>
      <c r="K230" s="68">
        <f t="shared" si="106"/>
        <v>-340.1</v>
      </c>
      <c r="L230" s="68">
        <f t="shared" si="106"/>
        <v>2500</v>
      </c>
      <c r="M230" s="68">
        <f t="shared" si="106"/>
        <v>0</v>
      </c>
      <c r="N230" s="168">
        <f t="shared" si="106"/>
        <v>-172.1</v>
      </c>
      <c r="O230" s="68">
        <f t="shared" si="106"/>
        <v>-1014</v>
      </c>
      <c r="P230" s="68">
        <f t="shared" si="106"/>
        <v>0</v>
      </c>
      <c r="Q230" s="68">
        <f t="shared" si="106"/>
        <v>300</v>
      </c>
      <c r="R230" s="68">
        <f t="shared" si="106"/>
        <v>0</v>
      </c>
      <c r="S230" s="68">
        <f t="shared" si="106"/>
        <v>0</v>
      </c>
      <c r="T230" s="25"/>
    </row>
    <row r="231" spans="1:19" s="24" customFormat="1" ht="38.25" hidden="1">
      <c r="A231" s="17"/>
      <c r="B231" s="66" t="s">
        <v>375</v>
      </c>
      <c r="C231" s="41"/>
      <c r="D231" s="83" t="s">
        <v>360</v>
      </c>
      <c r="E231" s="79">
        <f>E232</f>
        <v>33295.5</v>
      </c>
      <c r="F231" s="79">
        <f t="shared" si="106"/>
        <v>35317.505</v>
      </c>
      <c r="G231" s="68">
        <f t="shared" si="106"/>
        <v>0</v>
      </c>
      <c r="H231" s="68">
        <f t="shared" si="106"/>
        <v>0</v>
      </c>
      <c r="I231" s="70">
        <f t="shared" si="106"/>
        <v>883.205</v>
      </c>
      <c r="J231" s="68">
        <f t="shared" si="106"/>
        <v>-135</v>
      </c>
      <c r="K231" s="68">
        <f t="shared" si="106"/>
        <v>-340.1</v>
      </c>
      <c r="L231" s="68">
        <f t="shared" si="106"/>
        <v>2500</v>
      </c>
      <c r="M231" s="68">
        <f t="shared" si="106"/>
        <v>0</v>
      </c>
      <c r="N231" s="168">
        <f t="shared" si="106"/>
        <v>-172.1</v>
      </c>
      <c r="O231" s="68">
        <f t="shared" si="106"/>
        <v>-1014</v>
      </c>
      <c r="P231" s="68">
        <f t="shared" si="106"/>
        <v>0</v>
      </c>
      <c r="Q231" s="68">
        <f t="shared" si="106"/>
        <v>300</v>
      </c>
      <c r="R231" s="68">
        <f t="shared" si="106"/>
        <v>0</v>
      </c>
      <c r="S231" s="68">
        <f t="shared" si="106"/>
        <v>0</v>
      </c>
    </row>
    <row r="232" spans="1:19" s="24" customFormat="1" ht="25.5" hidden="1">
      <c r="A232" s="5"/>
      <c r="B232" s="66"/>
      <c r="C232" s="41" t="s">
        <v>3</v>
      </c>
      <c r="D232" s="67" t="s">
        <v>95</v>
      </c>
      <c r="E232" s="79">
        <f>33295.5</f>
        <v>33295.5</v>
      </c>
      <c r="F232" s="93">
        <f>E232+SUM(G232:Q232)</f>
        <v>35317.505</v>
      </c>
      <c r="G232" s="68"/>
      <c r="H232" s="68"/>
      <c r="I232" s="70">
        <v>883.205</v>
      </c>
      <c r="J232" s="68">
        <v>-135</v>
      </c>
      <c r="K232" s="68">
        <f>-147-193.1</f>
        <v>-340.1</v>
      </c>
      <c r="L232" s="68">
        <f>2500</f>
        <v>2500</v>
      </c>
      <c r="M232" s="68"/>
      <c r="N232" s="168">
        <v>-172.1</v>
      </c>
      <c r="O232" s="68">
        <f>-1014</f>
        <v>-1014</v>
      </c>
      <c r="P232" s="68"/>
      <c r="Q232" s="68">
        <v>300</v>
      </c>
      <c r="R232" s="68"/>
      <c r="S232" s="68"/>
    </row>
    <row r="233" spans="1:21" s="24" customFormat="1" ht="25.5" hidden="1">
      <c r="A233" s="5"/>
      <c r="B233" s="66" t="s">
        <v>377</v>
      </c>
      <c r="C233" s="41"/>
      <c r="D233" s="83" t="s">
        <v>379</v>
      </c>
      <c r="E233" s="79">
        <f>E234+E236</f>
        <v>400</v>
      </c>
      <c r="F233" s="79">
        <f aca="true" t="shared" si="107" ref="F233:Q233">F234+F236</f>
        <v>472.1</v>
      </c>
      <c r="G233" s="79">
        <f t="shared" si="107"/>
        <v>0</v>
      </c>
      <c r="H233" s="79">
        <f t="shared" si="107"/>
        <v>10486</v>
      </c>
      <c r="I233" s="96">
        <f t="shared" si="107"/>
        <v>0</v>
      </c>
      <c r="J233" s="79">
        <f t="shared" si="107"/>
        <v>0</v>
      </c>
      <c r="K233" s="79">
        <f t="shared" si="107"/>
        <v>-10486</v>
      </c>
      <c r="L233" s="79">
        <f t="shared" si="107"/>
        <v>0</v>
      </c>
      <c r="M233" s="79">
        <f t="shared" si="107"/>
        <v>0</v>
      </c>
      <c r="N233" s="170">
        <f t="shared" si="107"/>
        <v>72.1</v>
      </c>
      <c r="O233" s="79">
        <f t="shared" si="107"/>
        <v>0</v>
      </c>
      <c r="P233" s="79">
        <f t="shared" si="107"/>
        <v>0</v>
      </c>
      <c r="Q233" s="79">
        <f t="shared" si="107"/>
        <v>0</v>
      </c>
      <c r="R233" s="79">
        <f>R234+R236</f>
        <v>0</v>
      </c>
      <c r="S233" s="79">
        <f>S234+S236</f>
        <v>0</v>
      </c>
      <c r="U233" s="148"/>
    </row>
    <row r="234" spans="1:19" s="24" customFormat="1" ht="38.25" hidden="1">
      <c r="A234" s="5"/>
      <c r="B234" s="66" t="s">
        <v>378</v>
      </c>
      <c r="C234" s="41"/>
      <c r="D234" s="83" t="s">
        <v>360</v>
      </c>
      <c r="E234" s="79">
        <f>E235</f>
        <v>400</v>
      </c>
      <c r="F234" s="79">
        <f aca="true" t="shared" si="108" ref="F234:S234">F235</f>
        <v>472.1</v>
      </c>
      <c r="G234" s="68">
        <f t="shared" si="108"/>
        <v>0</v>
      </c>
      <c r="H234" s="68">
        <f t="shared" si="108"/>
        <v>0</v>
      </c>
      <c r="I234" s="70">
        <f t="shared" si="108"/>
        <v>0</v>
      </c>
      <c r="J234" s="68">
        <f t="shared" si="108"/>
        <v>0</v>
      </c>
      <c r="K234" s="68">
        <f t="shared" si="108"/>
        <v>0</v>
      </c>
      <c r="L234" s="68">
        <f t="shared" si="108"/>
        <v>0</v>
      </c>
      <c r="M234" s="68">
        <f t="shared" si="108"/>
        <v>0</v>
      </c>
      <c r="N234" s="168">
        <f t="shared" si="108"/>
        <v>72.1</v>
      </c>
      <c r="O234" s="68">
        <f t="shared" si="108"/>
        <v>0</v>
      </c>
      <c r="P234" s="68">
        <f t="shared" si="108"/>
        <v>0</v>
      </c>
      <c r="Q234" s="68">
        <f t="shared" si="108"/>
        <v>0</v>
      </c>
      <c r="R234" s="68">
        <f t="shared" si="108"/>
        <v>0</v>
      </c>
      <c r="S234" s="68">
        <f t="shared" si="108"/>
        <v>0</v>
      </c>
    </row>
    <row r="235" spans="1:19" s="24" customFormat="1" ht="25.5" hidden="1">
      <c r="A235" s="5"/>
      <c r="B235" s="66"/>
      <c r="C235" s="41" t="s">
        <v>3</v>
      </c>
      <c r="D235" s="67" t="s">
        <v>95</v>
      </c>
      <c r="E235" s="79">
        <f>400</f>
        <v>400</v>
      </c>
      <c r="F235" s="93">
        <f>E235+SUM(G235:Q235)</f>
        <v>472.1</v>
      </c>
      <c r="G235" s="68"/>
      <c r="H235" s="68"/>
      <c r="I235" s="153"/>
      <c r="J235" s="69"/>
      <c r="K235" s="68"/>
      <c r="L235" s="68"/>
      <c r="M235" s="68"/>
      <c r="N235" s="168">
        <v>72.1</v>
      </c>
      <c r="O235" s="68"/>
      <c r="P235" s="68"/>
      <c r="Q235" s="68"/>
      <c r="R235" s="68"/>
      <c r="S235" s="68"/>
    </row>
    <row r="236" spans="1:19" s="24" customFormat="1" ht="63.75" hidden="1">
      <c r="A236" s="5"/>
      <c r="B236" s="66" t="s">
        <v>522</v>
      </c>
      <c r="C236" s="41"/>
      <c r="D236" s="67" t="s">
        <v>523</v>
      </c>
      <c r="E236" s="79">
        <f>E237</f>
        <v>0</v>
      </c>
      <c r="F236" s="79">
        <f aca="true" t="shared" si="109" ref="F236:S236">F237</f>
        <v>0</v>
      </c>
      <c r="G236" s="79">
        <f t="shared" si="109"/>
        <v>0</v>
      </c>
      <c r="H236" s="79">
        <f t="shared" si="109"/>
        <v>10486</v>
      </c>
      <c r="I236" s="96">
        <f t="shared" si="109"/>
        <v>0</v>
      </c>
      <c r="J236" s="79">
        <f t="shared" si="109"/>
        <v>0</v>
      </c>
      <c r="K236" s="79">
        <f t="shared" si="109"/>
        <v>-10486</v>
      </c>
      <c r="L236" s="79">
        <f t="shared" si="109"/>
        <v>0</v>
      </c>
      <c r="M236" s="79">
        <f t="shared" si="109"/>
        <v>0</v>
      </c>
      <c r="N236" s="170">
        <f t="shared" si="109"/>
        <v>0</v>
      </c>
      <c r="O236" s="79">
        <f t="shared" si="109"/>
        <v>0</v>
      </c>
      <c r="P236" s="79">
        <f t="shared" si="109"/>
        <v>0</v>
      </c>
      <c r="Q236" s="79">
        <f t="shared" si="109"/>
        <v>0</v>
      </c>
      <c r="R236" s="79">
        <f t="shared" si="109"/>
        <v>0</v>
      </c>
      <c r="S236" s="79">
        <f t="shared" si="109"/>
        <v>0</v>
      </c>
    </row>
    <row r="237" spans="1:19" s="24" customFormat="1" ht="25.5" hidden="1">
      <c r="A237" s="5"/>
      <c r="B237" s="66"/>
      <c r="C237" s="41" t="s">
        <v>3</v>
      </c>
      <c r="D237" s="67" t="s">
        <v>95</v>
      </c>
      <c r="E237" s="79"/>
      <c r="F237" s="93">
        <f>E237+SUM(G237:Q237)</f>
        <v>0</v>
      </c>
      <c r="G237" s="68"/>
      <c r="H237" s="68">
        <v>10486</v>
      </c>
      <c r="I237" s="153"/>
      <c r="J237" s="69"/>
      <c r="K237" s="68">
        <v>-10486</v>
      </c>
      <c r="L237" s="68"/>
      <c r="M237" s="68"/>
      <c r="N237" s="168"/>
      <c r="O237" s="68"/>
      <c r="P237" s="68"/>
      <c r="Q237" s="68"/>
      <c r="R237" s="68"/>
      <c r="S237" s="68"/>
    </row>
    <row r="238" spans="1:19" s="24" customFormat="1" ht="38.25" hidden="1">
      <c r="A238" s="5"/>
      <c r="B238" s="66" t="s">
        <v>380</v>
      </c>
      <c r="C238" s="41"/>
      <c r="D238" s="83" t="s">
        <v>382</v>
      </c>
      <c r="E238" s="93">
        <f>E239</f>
        <v>7800</v>
      </c>
      <c r="F238" s="93">
        <f aca="true" t="shared" si="110" ref="F238:S239">F239</f>
        <v>2999.3493399999998</v>
      </c>
      <c r="G238" s="64">
        <f t="shared" si="110"/>
        <v>0</v>
      </c>
      <c r="H238" s="64">
        <f t="shared" si="110"/>
        <v>0</v>
      </c>
      <c r="I238" s="78">
        <f t="shared" si="110"/>
        <v>-2436.38066</v>
      </c>
      <c r="J238" s="64">
        <f t="shared" si="110"/>
        <v>0</v>
      </c>
      <c r="K238" s="64">
        <f t="shared" si="110"/>
        <v>-1064.3</v>
      </c>
      <c r="L238" s="64">
        <f t="shared" si="110"/>
        <v>0</v>
      </c>
      <c r="M238" s="64">
        <f t="shared" si="110"/>
        <v>0</v>
      </c>
      <c r="N238" s="172">
        <f t="shared" si="110"/>
        <v>-611.37</v>
      </c>
      <c r="O238" s="64">
        <f t="shared" si="110"/>
        <v>-388.6</v>
      </c>
      <c r="P238" s="64">
        <f t="shared" si="110"/>
        <v>0</v>
      </c>
      <c r="Q238" s="64">
        <f t="shared" si="110"/>
        <v>-300</v>
      </c>
      <c r="R238" s="64">
        <f t="shared" si="110"/>
        <v>0</v>
      </c>
      <c r="S238" s="64">
        <f t="shared" si="110"/>
        <v>0</v>
      </c>
    </row>
    <row r="239" spans="1:19" s="24" customFormat="1" ht="38.25" hidden="1">
      <c r="A239" s="5"/>
      <c r="B239" s="66" t="s">
        <v>381</v>
      </c>
      <c r="C239" s="41"/>
      <c r="D239" s="83" t="s">
        <v>360</v>
      </c>
      <c r="E239" s="93">
        <f>E240</f>
        <v>7800</v>
      </c>
      <c r="F239" s="93">
        <f t="shared" si="110"/>
        <v>2999.3493399999998</v>
      </c>
      <c r="G239" s="64">
        <f t="shared" si="110"/>
        <v>0</v>
      </c>
      <c r="H239" s="64">
        <f t="shared" si="110"/>
        <v>0</v>
      </c>
      <c r="I239" s="78">
        <f t="shared" si="110"/>
        <v>-2436.38066</v>
      </c>
      <c r="J239" s="64">
        <f t="shared" si="110"/>
        <v>0</v>
      </c>
      <c r="K239" s="64">
        <f t="shared" si="110"/>
        <v>-1064.3</v>
      </c>
      <c r="L239" s="64">
        <f t="shared" si="110"/>
        <v>0</v>
      </c>
      <c r="M239" s="64">
        <f t="shared" si="110"/>
        <v>0</v>
      </c>
      <c r="N239" s="172">
        <f t="shared" si="110"/>
        <v>-611.37</v>
      </c>
      <c r="O239" s="64">
        <f t="shared" si="110"/>
        <v>-388.6</v>
      </c>
      <c r="P239" s="64">
        <f t="shared" si="110"/>
        <v>0</v>
      </c>
      <c r="Q239" s="64">
        <f t="shared" si="110"/>
        <v>-300</v>
      </c>
      <c r="R239" s="64">
        <f t="shared" si="110"/>
        <v>0</v>
      </c>
      <c r="S239" s="64">
        <f t="shared" si="110"/>
        <v>0</v>
      </c>
    </row>
    <row r="240" spans="1:19" s="24" customFormat="1" ht="25.5" hidden="1">
      <c r="A240" s="5"/>
      <c r="B240" s="66"/>
      <c r="C240" s="41" t="s">
        <v>3</v>
      </c>
      <c r="D240" s="67" t="s">
        <v>95</v>
      </c>
      <c r="E240" s="93">
        <f>7300+500</f>
        <v>7800</v>
      </c>
      <c r="F240" s="93">
        <f>E240+SUM(G240:Q240)</f>
        <v>2999.3493399999998</v>
      </c>
      <c r="G240" s="64"/>
      <c r="H240" s="64"/>
      <c r="I240" s="154">
        <f>-2436.38066</f>
        <v>-2436.38066</v>
      </c>
      <c r="J240" s="65"/>
      <c r="K240" s="64">
        <v>-1064.3</v>
      </c>
      <c r="L240" s="64"/>
      <c r="M240" s="64"/>
      <c r="N240" s="172">
        <v>-611.37</v>
      </c>
      <c r="O240" s="64">
        <f>-388.6</f>
        <v>-388.6</v>
      </c>
      <c r="P240" s="64"/>
      <c r="Q240" s="64">
        <v>-300</v>
      </c>
      <c r="R240" s="64"/>
      <c r="S240" s="64"/>
    </row>
    <row r="241" spans="1:19" s="24" customFormat="1" ht="67.5" customHeight="1">
      <c r="A241" s="5"/>
      <c r="B241" s="63" t="s">
        <v>530</v>
      </c>
      <c r="C241" s="11"/>
      <c r="D241" s="113" t="s">
        <v>564</v>
      </c>
      <c r="E241" s="94">
        <f>E242</f>
        <v>0</v>
      </c>
      <c r="F241" s="94">
        <f aca="true" t="shared" si="111" ref="F241:S241">F242</f>
        <v>11890.37</v>
      </c>
      <c r="G241" s="94">
        <f t="shared" si="111"/>
        <v>0</v>
      </c>
      <c r="H241" s="94">
        <f t="shared" si="111"/>
        <v>0</v>
      </c>
      <c r="I241" s="94">
        <f t="shared" si="111"/>
        <v>0</v>
      </c>
      <c r="J241" s="94">
        <f t="shared" si="111"/>
        <v>0</v>
      </c>
      <c r="K241" s="94">
        <f t="shared" si="111"/>
        <v>11890.4</v>
      </c>
      <c r="L241" s="93">
        <f t="shared" si="111"/>
        <v>0</v>
      </c>
      <c r="M241" s="93">
        <f t="shared" si="111"/>
        <v>0</v>
      </c>
      <c r="N241" s="175">
        <f t="shared" si="111"/>
        <v>-0.03</v>
      </c>
      <c r="O241" s="93">
        <f t="shared" si="111"/>
        <v>0</v>
      </c>
      <c r="P241" s="93">
        <f t="shared" si="111"/>
        <v>0</v>
      </c>
      <c r="Q241" s="93">
        <f t="shared" si="111"/>
        <v>0</v>
      </c>
      <c r="R241" s="93">
        <f t="shared" si="111"/>
        <v>0</v>
      </c>
      <c r="S241" s="93">
        <f t="shared" si="111"/>
        <v>0</v>
      </c>
    </row>
    <row r="242" spans="1:19" s="24" customFormat="1" ht="38.25">
      <c r="A242" s="5"/>
      <c r="B242" s="66" t="s">
        <v>537</v>
      </c>
      <c r="C242" s="41"/>
      <c r="D242" s="67" t="s">
        <v>538</v>
      </c>
      <c r="E242" s="93">
        <f>E243+E245</f>
        <v>0</v>
      </c>
      <c r="F242" s="93">
        <f aca="true" t="shared" si="112" ref="F242:Q242">F243+F245</f>
        <v>11890.37</v>
      </c>
      <c r="G242" s="93">
        <f t="shared" si="112"/>
        <v>0</v>
      </c>
      <c r="H242" s="93">
        <f t="shared" si="112"/>
        <v>0</v>
      </c>
      <c r="I242" s="93">
        <f t="shared" si="112"/>
        <v>0</v>
      </c>
      <c r="J242" s="93">
        <f t="shared" si="112"/>
        <v>0</v>
      </c>
      <c r="K242" s="93">
        <f t="shared" si="112"/>
        <v>11890.4</v>
      </c>
      <c r="L242" s="93">
        <f t="shared" si="112"/>
        <v>0</v>
      </c>
      <c r="M242" s="93">
        <f t="shared" si="112"/>
        <v>0</v>
      </c>
      <c r="N242" s="175">
        <f t="shared" si="112"/>
        <v>-0.03</v>
      </c>
      <c r="O242" s="93">
        <f t="shared" si="112"/>
        <v>0</v>
      </c>
      <c r="P242" s="93">
        <f t="shared" si="112"/>
        <v>0</v>
      </c>
      <c r="Q242" s="93">
        <f t="shared" si="112"/>
        <v>0</v>
      </c>
      <c r="R242" s="93">
        <f>R243+R245</f>
        <v>0</v>
      </c>
      <c r="S242" s="93">
        <f>S243+S245</f>
        <v>0</v>
      </c>
    </row>
    <row r="243" spans="1:19" s="24" customFormat="1" ht="25.5">
      <c r="A243" s="5"/>
      <c r="B243" s="66" t="s">
        <v>539</v>
      </c>
      <c r="C243" s="41"/>
      <c r="D243" s="67" t="s">
        <v>535</v>
      </c>
      <c r="E243" s="93">
        <f>E244</f>
        <v>0</v>
      </c>
      <c r="F243" s="93">
        <f aca="true" t="shared" si="113" ref="F243:S243">F244</f>
        <v>11890.37</v>
      </c>
      <c r="G243" s="93">
        <f t="shared" si="113"/>
        <v>0</v>
      </c>
      <c r="H243" s="93">
        <f t="shared" si="113"/>
        <v>0</v>
      </c>
      <c r="I243" s="93">
        <f t="shared" si="113"/>
        <v>0</v>
      </c>
      <c r="J243" s="93">
        <f t="shared" si="113"/>
        <v>0</v>
      </c>
      <c r="K243" s="93">
        <f t="shared" si="113"/>
        <v>1404.4</v>
      </c>
      <c r="L243" s="93">
        <f t="shared" si="113"/>
        <v>0</v>
      </c>
      <c r="M243" s="93">
        <f t="shared" si="113"/>
        <v>0</v>
      </c>
      <c r="N243" s="175">
        <f t="shared" si="113"/>
        <v>-0.03</v>
      </c>
      <c r="O243" s="93">
        <f t="shared" si="113"/>
        <v>0</v>
      </c>
      <c r="P243" s="93">
        <f t="shared" si="113"/>
        <v>0</v>
      </c>
      <c r="Q243" s="93">
        <f t="shared" si="113"/>
        <v>0</v>
      </c>
      <c r="R243" s="93">
        <f t="shared" si="113"/>
        <v>10486</v>
      </c>
      <c r="S243" s="93">
        <f t="shared" si="113"/>
        <v>0</v>
      </c>
    </row>
    <row r="244" spans="1:19" s="24" customFormat="1" ht="25.5">
      <c r="A244" s="5"/>
      <c r="B244" s="66"/>
      <c r="C244" s="41" t="s">
        <v>3</v>
      </c>
      <c r="D244" s="67" t="s">
        <v>95</v>
      </c>
      <c r="E244" s="93"/>
      <c r="F244" s="93">
        <f>E244+SUM(G244:S244)</f>
        <v>11890.37</v>
      </c>
      <c r="G244" s="64"/>
      <c r="H244" s="64"/>
      <c r="I244" s="154"/>
      <c r="J244" s="65"/>
      <c r="K244" s="64">
        <v>1404.4</v>
      </c>
      <c r="L244" s="64"/>
      <c r="M244" s="64"/>
      <c r="N244" s="172">
        <v>-0.03</v>
      </c>
      <c r="O244" s="64"/>
      <c r="P244" s="64"/>
      <c r="Q244" s="64"/>
      <c r="R244" s="64">
        <v>10486</v>
      </c>
      <c r="S244" s="64"/>
    </row>
    <row r="245" spans="1:19" s="24" customFormat="1" ht="25.5">
      <c r="A245" s="5"/>
      <c r="B245" s="66" t="s">
        <v>540</v>
      </c>
      <c r="C245" s="41"/>
      <c r="D245" s="67" t="s">
        <v>536</v>
      </c>
      <c r="E245" s="93">
        <f>E246</f>
        <v>0</v>
      </c>
      <c r="F245" s="93">
        <f aca="true" t="shared" si="114" ref="F245:S245">F246</f>
        <v>0</v>
      </c>
      <c r="G245" s="93">
        <f t="shared" si="114"/>
        <v>0</v>
      </c>
      <c r="H245" s="93">
        <f t="shared" si="114"/>
        <v>0</v>
      </c>
      <c r="I245" s="93">
        <f t="shared" si="114"/>
        <v>0</v>
      </c>
      <c r="J245" s="93">
        <f t="shared" si="114"/>
        <v>0</v>
      </c>
      <c r="K245" s="93">
        <f t="shared" si="114"/>
        <v>10486</v>
      </c>
      <c r="L245" s="93">
        <f t="shared" si="114"/>
        <v>0</v>
      </c>
      <c r="M245" s="93">
        <f t="shared" si="114"/>
        <v>0</v>
      </c>
      <c r="N245" s="175">
        <f t="shared" si="114"/>
        <v>0</v>
      </c>
      <c r="O245" s="93">
        <f t="shared" si="114"/>
        <v>0</v>
      </c>
      <c r="P245" s="93">
        <f t="shared" si="114"/>
        <v>0</v>
      </c>
      <c r="Q245" s="93">
        <f t="shared" si="114"/>
        <v>0</v>
      </c>
      <c r="R245" s="93">
        <f t="shared" si="114"/>
        <v>-10486</v>
      </c>
      <c r="S245" s="93">
        <f t="shared" si="114"/>
        <v>0</v>
      </c>
    </row>
    <row r="246" spans="1:19" s="24" customFormat="1" ht="25.5">
      <c r="A246" s="5"/>
      <c r="B246" s="66"/>
      <c r="C246" s="41" t="s">
        <v>3</v>
      </c>
      <c r="D246" s="67" t="s">
        <v>95</v>
      </c>
      <c r="E246" s="93"/>
      <c r="F246" s="93">
        <f>E246+SUM(G246:S246)</f>
        <v>0</v>
      </c>
      <c r="G246" s="64"/>
      <c r="H246" s="64"/>
      <c r="I246" s="154"/>
      <c r="J246" s="65"/>
      <c r="K246" s="64">
        <v>10486</v>
      </c>
      <c r="L246" s="64"/>
      <c r="M246" s="64"/>
      <c r="N246" s="172"/>
      <c r="O246" s="64"/>
      <c r="P246" s="64"/>
      <c r="Q246" s="64"/>
      <c r="R246" s="64">
        <v>-10486</v>
      </c>
      <c r="S246" s="64"/>
    </row>
    <row r="247" spans="1:19" s="25" customFormat="1" ht="12">
      <c r="A247" s="5" t="s">
        <v>48</v>
      </c>
      <c r="B247" s="16"/>
      <c r="C247" s="5"/>
      <c r="D247" s="13" t="s">
        <v>49</v>
      </c>
      <c r="E247" s="119">
        <f>E248+E256</f>
        <v>827.3</v>
      </c>
      <c r="F247" s="119">
        <f aca="true" t="shared" si="115" ref="F247:Q247">F248+F256</f>
        <v>620</v>
      </c>
      <c r="G247" s="119">
        <f t="shared" si="115"/>
        <v>0</v>
      </c>
      <c r="H247" s="119">
        <f t="shared" si="115"/>
        <v>0</v>
      </c>
      <c r="I247" s="121">
        <f t="shared" si="115"/>
        <v>-207.3</v>
      </c>
      <c r="J247" s="119">
        <f t="shared" si="115"/>
        <v>0</v>
      </c>
      <c r="K247" s="119">
        <f t="shared" si="115"/>
        <v>0</v>
      </c>
      <c r="L247" s="119">
        <f t="shared" si="115"/>
        <v>0</v>
      </c>
      <c r="M247" s="119">
        <f t="shared" si="115"/>
        <v>0</v>
      </c>
      <c r="N247" s="171">
        <f t="shared" si="115"/>
        <v>0</v>
      </c>
      <c r="O247" s="119">
        <f t="shared" si="115"/>
        <v>0</v>
      </c>
      <c r="P247" s="119">
        <f t="shared" si="115"/>
        <v>0</v>
      </c>
      <c r="Q247" s="119">
        <f t="shared" si="115"/>
        <v>0</v>
      </c>
      <c r="R247" s="119">
        <f>R248+R256</f>
        <v>-452.6</v>
      </c>
      <c r="S247" s="119">
        <f>S248+S256</f>
        <v>0</v>
      </c>
    </row>
    <row r="248" spans="1:19" s="25" customFormat="1" ht="72.75" customHeight="1">
      <c r="A248" s="5"/>
      <c r="B248" s="63" t="s">
        <v>174</v>
      </c>
      <c r="C248" s="11"/>
      <c r="D248" s="60" t="s">
        <v>110</v>
      </c>
      <c r="E248" s="95">
        <f>E249</f>
        <v>500</v>
      </c>
      <c r="F248" s="95">
        <f aca="true" t="shared" si="116" ref="F248:S251">F249</f>
        <v>500</v>
      </c>
      <c r="G248" s="73">
        <f t="shared" si="116"/>
        <v>0</v>
      </c>
      <c r="H248" s="73">
        <f t="shared" si="116"/>
        <v>0</v>
      </c>
      <c r="I248" s="77">
        <f t="shared" si="116"/>
        <v>0</v>
      </c>
      <c r="J248" s="73">
        <f t="shared" si="116"/>
        <v>0</v>
      </c>
      <c r="K248" s="73">
        <f t="shared" si="116"/>
        <v>0</v>
      </c>
      <c r="L248" s="73">
        <f t="shared" si="116"/>
        <v>0</v>
      </c>
      <c r="M248" s="73">
        <f t="shared" si="116"/>
        <v>0</v>
      </c>
      <c r="N248" s="123">
        <f t="shared" si="116"/>
        <v>0</v>
      </c>
      <c r="O248" s="73">
        <f t="shared" si="116"/>
        <v>0</v>
      </c>
      <c r="P248" s="73">
        <f t="shared" si="116"/>
        <v>0</v>
      </c>
      <c r="Q248" s="73">
        <f t="shared" si="116"/>
        <v>0</v>
      </c>
      <c r="R248" s="73">
        <f t="shared" si="116"/>
        <v>-452.6</v>
      </c>
      <c r="S248" s="73">
        <f t="shared" si="116"/>
        <v>0</v>
      </c>
    </row>
    <row r="249" spans="1:19" s="25" customFormat="1" ht="12.75">
      <c r="A249" s="5"/>
      <c r="B249" s="82" t="s">
        <v>182</v>
      </c>
      <c r="C249" s="41"/>
      <c r="D249" s="61" t="s">
        <v>112</v>
      </c>
      <c r="E249" s="79">
        <f>E250+E253</f>
        <v>500</v>
      </c>
      <c r="F249" s="79">
        <f aca="true" t="shared" si="117" ref="F249:N249">F250+F253</f>
        <v>500</v>
      </c>
      <c r="G249" s="79">
        <f t="shared" si="117"/>
        <v>0</v>
      </c>
      <c r="H249" s="79">
        <f t="shared" si="117"/>
        <v>0</v>
      </c>
      <c r="I249" s="96">
        <f t="shared" si="117"/>
        <v>0</v>
      </c>
      <c r="J249" s="79">
        <f t="shared" si="117"/>
        <v>0</v>
      </c>
      <c r="K249" s="79">
        <f t="shared" si="117"/>
        <v>0</v>
      </c>
      <c r="L249" s="79">
        <f t="shared" si="117"/>
        <v>0</v>
      </c>
      <c r="M249" s="79">
        <f t="shared" si="117"/>
        <v>0</v>
      </c>
      <c r="N249" s="170">
        <f t="shared" si="117"/>
        <v>0</v>
      </c>
      <c r="O249" s="68">
        <f t="shared" si="116"/>
        <v>0</v>
      </c>
      <c r="P249" s="68">
        <f t="shared" si="116"/>
        <v>0</v>
      </c>
      <c r="Q249" s="68">
        <f t="shared" si="116"/>
        <v>0</v>
      </c>
      <c r="R249" s="68">
        <f t="shared" si="116"/>
        <v>-452.6</v>
      </c>
      <c r="S249" s="68">
        <f t="shared" si="116"/>
        <v>0</v>
      </c>
    </row>
    <row r="250" spans="1:19" s="25" customFormat="1" ht="25.5">
      <c r="A250" s="5"/>
      <c r="B250" s="66" t="s">
        <v>183</v>
      </c>
      <c r="C250" s="41"/>
      <c r="D250" s="57" t="s">
        <v>185</v>
      </c>
      <c r="E250" s="79">
        <f>E251</f>
        <v>500</v>
      </c>
      <c r="F250" s="79">
        <f t="shared" si="116"/>
        <v>500</v>
      </c>
      <c r="G250" s="68">
        <f t="shared" si="116"/>
        <v>0</v>
      </c>
      <c r="H250" s="68">
        <f t="shared" si="116"/>
        <v>0</v>
      </c>
      <c r="I250" s="70">
        <f t="shared" si="116"/>
        <v>0</v>
      </c>
      <c r="J250" s="68">
        <f t="shared" si="116"/>
        <v>0</v>
      </c>
      <c r="K250" s="68">
        <f t="shared" si="116"/>
        <v>0</v>
      </c>
      <c r="L250" s="68">
        <f t="shared" si="116"/>
        <v>0</v>
      </c>
      <c r="M250" s="68">
        <f t="shared" si="116"/>
        <v>0</v>
      </c>
      <c r="N250" s="168">
        <f t="shared" si="116"/>
        <v>0</v>
      </c>
      <c r="O250" s="68">
        <f t="shared" si="116"/>
        <v>0</v>
      </c>
      <c r="P250" s="68">
        <f t="shared" si="116"/>
        <v>0</v>
      </c>
      <c r="Q250" s="68">
        <f t="shared" si="116"/>
        <v>0</v>
      </c>
      <c r="R250" s="68">
        <f t="shared" si="116"/>
        <v>-452.6</v>
      </c>
      <c r="S250" s="68">
        <f t="shared" si="116"/>
        <v>0</v>
      </c>
    </row>
    <row r="251" spans="1:19" s="25" customFormat="1" ht="25.5">
      <c r="A251" s="5"/>
      <c r="B251" s="106" t="s">
        <v>184</v>
      </c>
      <c r="C251" s="41"/>
      <c r="D251" s="57" t="s">
        <v>153</v>
      </c>
      <c r="E251" s="79">
        <f>E252</f>
        <v>500</v>
      </c>
      <c r="F251" s="79">
        <f t="shared" si="116"/>
        <v>500</v>
      </c>
      <c r="G251" s="68">
        <f t="shared" si="116"/>
        <v>0</v>
      </c>
      <c r="H251" s="68">
        <f t="shared" si="116"/>
        <v>0</v>
      </c>
      <c r="I251" s="70">
        <f t="shared" si="116"/>
        <v>0</v>
      </c>
      <c r="J251" s="68">
        <f t="shared" si="116"/>
        <v>0</v>
      </c>
      <c r="K251" s="68">
        <f t="shared" si="116"/>
        <v>0</v>
      </c>
      <c r="L251" s="68">
        <f t="shared" si="116"/>
        <v>0</v>
      </c>
      <c r="M251" s="68">
        <f t="shared" si="116"/>
        <v>0</v>
      </c>
      <c r="N251" s="168">
        <f t="shared" si="116"/>
        <v>0</v>
      </c>
      <c r="O251" s="68">
        <f t="shared" si="116"/>
        <v>0</v>
      </c>
      <c r="P251" s="68">
        <f t="shared" si="116"/>
        <v>0</v>
      </c>
      <c r="Q251" s="68">
        <f t="shared" si="116"/>
        <v>0</v>
      </c>
      <c r="R251" s="68">
        <f t="shared" si="116"/>
        <v>-452.6</v>
      </c>
      <c r="S251" s="68">
        <f t="shared" si="116"/>
        <v>0</v>
      </c>
    </row>
    <row r="252" spans="1:19" s="25" customFormat="1" ht="25.5">
      <c r="A252" s="5"/>
      <c r="B252" s="66"/>
      <c r="C252" s="41" t="s">
        <v>3</v>
      </c>
      <c r="D252" s="67" t="s">
        <v>95</v>
      </c>
      <c r="E252" s="79">
        <f>500</f>
        <v>500</v>
      </c>
      <c r="F252" s="93">
        <f>E252+SUM(G252:Q252)</f>
        <v>500</v>
      </c>
      <c r="G252" s="68"/>
      <c r="H252" s="68"/>
      <c r="I252" s="153"/>
      <c r="J252" s="69"/>
      <c r="K252" s="68"/>
      <c r="L252" s="68"/>
      <c r="M252" s="68"/>
      <c r="N252" s="168"/>
      <c r="O252" s="68"/>
      <c r="P252" s="68"/>
      <c r="Q252" s="68"/>
      <c r="R252" s="68">
        <v>-452.6</v>
      </c>
      <c r="S252" s="68"/>
    </row>
    <row r="253" spans="1:19" s="25" customFormat="1" ht="38.25" hidden="1">
      <c r="A253" s="5"/>
      <c r="B253" s="66" t="s">
        <v>481</v>
      </c>
      <c r="C253" s="41"/>
      <c r="D253" s="67" t="s">
        <v>483</v>
      </c>
      <c r="E253" s="79">
        <f>E254</f>
        <v>0</v>
      </c>
      <c r="F253" s="79">
        <f aca="true" t="shared" si="118" ref="F253:N254">F254</f>
        <v>0</v>
      </c>
      <c r="G253" s="79">
        <f t="shared" si="118"/>
        <v>0</v>
      </c>
      <c r="H253" s="79">
        <f t="shared" si="118"/>
        <v>0</v>
      </c>
      <c r="I253" s="96">
        <f t="shared" si="118"/>
        <v>0</v>
      </c>
      <c r="J253" s="79">
        <f t="shared" si="118"/>
        <v>0</v>
      </c>
      <c r="K253" s="79">
        <f t="shared" si="118"/>
        <v>0</v>
      </c>
      <c r="L253" s="79">
        <f t="shared" si="118"/>
        <v>0</v>
      </c>
      <c r="M253" s="79">
        <f t="shared" si="118"/>
        <v>0</v>
      </c>
      <c r="N253" s="170">
        <f t="shared" si="118"/>
        <v>0</v>
      </c>
      <c r="O253" s="68"/>
      <c r="P253" s="68"/>
      <c r="Q253" s="68"/>
      <c r="R253" s="68"/>
      <c r="S253" s="68"/>
    </row>
    <row r="254" spans="1:19" s="25" customFormat="1" ht="25.5" hidden="1">
      <c r="A254" s="5"/>
      <c r="B254" s="66" t="s">
        <v>482</v>
      </c>
      <c r="C254" s="41"/>
      <c r="D254" s="67" t="s">
        <v>484</v>
      </c>
      <c r="E254" s="79">
        <f>E255</f>
        <v>0</v>
      </c>
      <c r="F254" s="79">
        <f t="shared" si="118"/>
        <v>0</v>
      </c>
      <c r="G254" s="79">
        <f t="shared" si="118"/>
        <v>0</v>
      </c>
      <c r="H254" s="79">
        <f t="shared" si="118"/>
        <v>0</v>
      </c>
      <c r="I254" s="96">
        <f t="shared" si="118"/>
        <v>0</v>
      </c>
      <c r="J254" s="79">
        <f t="shared" si="118"/>
        <v>0</v>
      </c>
      <c r="K254" s="79">
        <f t="shared" si="118"/>
        <v>0</v>
      </c>
      <c r="L254" s="79">
        <f t="shared" si="118"/>
        <v>0</v>
      </c>
      <c r="M254" s="79">
        <f t="shared" si="118"/>
        <v>0</v>
      </c>
      <c r="N254" s="170">
        <f t="shared" si="118"/>
        <v>0</v>
      </c>
      <c r="O254" s="68"/>
      <c r="P254" s="68"/>
      <c r="Q254" s="68"/>
      <c r="R254" s="68"/>
      <c r="S254" s="68"/>
    </row>
    <row r="255" spans="1:19" s="25" customFormat="1" ht="25.5" hidden="1">
      <c r="A255" s="5"/>
      <c r="B255" s="66"/>
      <c r="C255" s="41" t="s">
        <v>3</v>
      </c>
      <c r="D255" s="67" t="s">
        <v>95</v>
      </c>
      <c r="E255" s="79"/>
      <c r="F255" s="93">
        <f>E255+SUM(G255:Q255)</f>
        <v>0</v>
      </c>
      <c r="G255" s="68"/>
      <c r="H255" s="68"/>
      <c r="I255" s="153"/>
      <c r="J255" s="69"/>
      <c r="K255" s="68"/>
      <c r="L255" s="68"/>
      <c r="M255" s="68"/>
      <c r="N255" s="168"/>
      <c r="O255" s="68"/>
      <c r="P255" s="68"/>
      <c r="Q255" s="68"/>
      <c r="R255" s="68"/>
      <c r="S255" s="68"/>
    </row>
    <row r="256" spans="1:19" s="25" customFormat="1" ht="63.75" hidden="1">
      <c r="A256" s="5"/>
      <c r="B256" s="63" t="s">
        <v>488</v>
      </c>
      <c r="C256" s="11"/>
      <c r="D256" s="113" t="s">
        <v>490</v>
      </c>
      <c r="E256" s="95">
        <f>E257+E259+E261</f>
        <v>327.3</v>
      </c>
      <c r="F256" s="95">
        <f aca="true" t="shared" si="119" ref="F256:Q256">F257+F259+F261</f>
        <v>120</v>
      </c>
      <c r="G256" s="95">
        <f t="shared" si="119"/>
        <v>0</v>
      </c>
      <c r="H256" s="95">
        <f t="shared" si="119"/>
        <v>0</v>
      </c>
      <c r="I256" s="131">
        <f t="shared" si="119"/>
        <v>-207.3</v>
      </c>
      <c r="J256" s="95">
        <f t="shared" si="119"/>
        <v>0</v>
      </c>
      <c r="K256" s="95">
        <f t="shared" si="119"/>
        <v>0</v>
      </c>
      <c r="L256" s="95">
        <f t="shared" si="119"/>
        <v>0</v>
      </c>
      <c r="M256" s="95">
        <f t="shared" si="119"/>
        <v>0</v>
      </c>
      <c r="N256" s="169">
        <f t="shared" si="119"/>
        <v>0</v>
      </c>
      <c r="O256" s="95">
        <f t="shared" si="119"/>
        <v>0</v>
      </c>
      <c r="P256" s="95">
        <f t="shared" si="119"/>
        <v>0</v>
      </c>
      <c r="Q256" s="95">
        <f t="shared" si="119"/>
        <v>0</v>
      </c>
      <c r="R256" s="95">
        <f>R257+R259+R261</f>
        <v>0</v>
      </c>
      <c r="S256" s="95">
        <f>S257+S259+S261</f>
        <v>0</v>
      </c>
    </row>
    <row r="257" spans="1:19" s="25" customFormat="1" ht="51" hidden="1">
      <c r="A257" s="5"/>
      <c r="B257" s="66" t="s">
        <v>489</v>
      </c>
      <c r="C257" s="41"/>
      <c r="D257" s="67" t="s">
        <v>491</v>
      </c>
      <c r="E257" s="79">
        <f>E258</f>
        <v>327.3</v>
      </c>
      <c r="F257" s="79">
        <f aca="true" t="shared" si="120" ref="F257:S257">F258</f>
        <v>50</v>
      </c>
      <c r="G257" s="79">
        <f t="shared" si="120"/>
        <v>0</v>
      </c>
      <c r="H257" s="79">
        <f t="shared" si="120"/>
        <v>0</v>
      </c>
      <c r="I257" s="96">
        <f t="shared" si="120"/>
        <v>-277.3</v>
      </c>
      <c r="J257" s="79">
        <f t="shared" si="120"/>
        <v>0</v>
      </c>
      <c r="K257" s="79">
        <f t="shared" si="120"/>
        <v>0</v>
      </c>
      <c r="L257" s="79">
        <f t="shared" si="120"/>
        <v>0</v>
      </c>
      <c r="M257" s="79">
        <f t="shared" si="120"/>
        <v>0</v>
      </c>
      <c r="N257" s="170">
        <f t="shared" si="120"/>
        <v>0</v>
      </c>
      <c r="O257" s="79">
        <f t="shared" si="120"/>
        <v>0</v>
      </c>
      <c r="P257" s="79">
        <f t="shared" si="120"/>
        <v>0</v>
      </c>
      <c r="Q257" s="79">
        <f t="shared" si="120"/>
        <v>0</v>
      </c>
      <c r="R257" s="79">
        <f t="shared" si="120"/>
        <v>0</v>
      </c>
      <c r="S257" s="79">
        <f t="shared" si="120"/>
        <v>0</v>
      </c>
    </row>
    <row r="258" spans="1:19" s="25" customFormat="1" ht="12.75" hidden="1">
      <c r="A258" s="5"/>
      <c r="B258" s="66"/>
      <c r="C258" s="41" t="s">
        <v>9</v>
      </c>
      <c r="D258" s="67" t="s">
        <v>37</v>
      </c>
      <c r="E258" s="79">
        <v>327.3</v>
      </c>
      <c r="F258" s="93">
        <f>E258+SUM(G258:Q258)</f>
        <v>50</v>
      </c>
      <c r="G258" s="68"/>
      <c r="H258" s="68"/>
      <c r="I258" s="153">
        <v>-277.3</v>
      </c>
      <c r="J258" s="69"/>
      <c r="K258" s="68"/>
      <c r="L258" s="68"/>
      <c r="M258" s="68"/>
      <c r="N258" s="168"/>
      <c r="O258" s="68"/>
      <c r="P258" s="68"/>
      <c r="Q258" s="68"/>
      <c r="R258" s="68"/>
      <c r="S258" s="68"/>
    </row>
    <row r="259" spans="1:19" s="25" customFormat="1" ht="51" hidden="1">
      <c r="A259" s="5"/>
      <c r="B259" s="66" t="s">
        <v>524</v>
      </c>
      <c r="C259" s="41"/>
      <c r="D259" s="134" t="s">
        <v>491</v>
      </c>
      <c r="E259" s="79">
        <f>E260</f>
        <v>0</v>
      </c>
      <c r="F259" s="79">
        <f aca="true" t="shared" si="121" ref="F259:S259">F260</f>
        <v>35</v>
      </c>
      <c r="G259" s="79">
        <f t="shared" si="121"/>
        <v>0</v>
      </c>
      <c r="H259" s="79">
        <f t="shared" si="121"/>
        <v>0</v>
      </c>
      <c r="I259" s="96">
        <f t="shared" si="121"/>
        <v>35</v>
      </c>
      <c r="J259" s="79">
        <f t="shared" si="121"/>
        <v>0</v>
      </c>
      <c r="K259" s="79">
        <f t="shared" si="121"/>
        <v>0</v>
      </c>
      <c r="L259" s="79">
        <f t="shared" si="121"/>
        <v>0</v>
      </c>
      <c r="M259" s="79">
        <f t="shared" si="121"/>
        <v>0</v>
      </c>
      <c r="N259" s="170">
        <f t="shared" si="121"/>
        <v>0</v>
      </c>
      <c r="O259" s="79">
        <f t="shared" si="121"/>
        <v>0</v>
      </c>
      <c r="P259" s="79">
        <f t="shared" si="121"/>
        <v>0</v>
      </c>
      <c r="Q259" s="79">
        <f t="shared" si="121"/>
        <v>0</v>
      </c>
      <c r="R259" s="79">
        <f t="shared" si="121"/>
        <v>0</v>
      </c>
      <c r="S259" s="79">
        <f t="shared" si="121"/>
        <v>0</v>
      </c>
    </row>
    <row r="260" spans="1:19" s="25" customFormat="1" ht="12.75" hidden="1">
      <c r="A260" s="5"/>
      <c r="B260" s="66"/>
      <c r="C260" s="41" t="s">
        <v>9</v>
      </c>
      <c r="D260" s="67" t="s">
        <v>37</v>
      </c>
      <c r="E260" s="79"/>
      <c r="F260" s="93">
        <f>E260+SUM(G260:Q260)</f>
        <v>35</v>
      </c>
      <c r="G260" s="68"/>
      <c r="H260" s="68"/>
      <c r="I260" s="153">
        <v>35</v>
      </c>
      <c r="J260" s="69"/>
      <c r="K260" s="68"/>
      <c r="L260" s="68"/>
      <c r="M260" s="68"/>
      <c r="N260" s="168"/>
      <c r="O260" s="68"/>
      <c r="P260" s="68"/>
      <c r="Q260" s="68"/>
      <c r="R260" s="68"/>
      <c r="S260" s="68"/>
    </row>
    <row r="261" spans="1:19" s="25" customFormat="1" ht="51" hidden="1">
      <c r="A261" s="5"/>
      <c r="B261" s="66" t="s">
        <v>525</v>
      </c>
      <c r="C261" s="41"/>
      <c r="D261" s="134" t="s">
        <v>491</v>
      </c>
      <c r="E261" s="79">
        <f>E262</f>
        <v>0</v>
      </c>
      <c r="F261" s="79">
        <f aca="true" t="shared" si="122" ref="F261:S261">F262</f>
        <v>35</v>
      </c>
      <c r="G261" s="79">
        <f t="shared" si="122"/>
        <v>0</v>
      </c>
      <c r="H261" s="79">
        <f t="shared" si="122"/>
        <v>0</v>
      </c>
      <c r="I261" s="96">
        <f t="shared" si="122"/>
        <v>35</v>
      </c>
      <c r="J261" s="79">
        <f t="shared" si="122"/>
        <v>0</v>
      </c>
      <c r="K261" s="79">
        <f t="shared" si="122"/>
        <v>0</v>
      </c>
      <c r="L261" s="79">
        <f t="shared" si="122"/>
        <v>0</v>
      </c>
      <c r="M261" s="79">
        <f t="shared" si="122"/>
        <v>0</v>
      </c>
      <c r="N261" s="170">
        <f t="shared" si="122"/>
        <v>0</v>
      </c>
      <c r="O261" s="79">
        <f t="shared" si="122"/>
        <v>0</v>
      </c>
      <c r="P261" s="79">
        <f t="shared" si="122"/>
        <v>0</v>
      </c>
      <c r="Q261" s="79">
        <f t="shared" si="122"/>
        <v>0</v>
      </c>
      <c r="R261" s="79">
        <f t="shared" si="122"/>
        <v>0</v>
      </c>
      <c r="S261" s="79">
        <f t="shared" si="122"/>
        <v>0</v>
      </c>
    </row>
    <row r="262" spans="1:19" s="25" customFormat="1" ht="12.75" hidden="1">
      <c r="A262" s="5"/>
      <c r="B262" s="66"/>
      <c r="C262" s="41" t="s">
        <v>9</v>
      </c>
      <c r="D262" s="67" t="s">
        <v>37</v>
      </c>
      <c r="E262" s="79"/>
      <c r="F262" s="93">
        <f>E262+SUM(G262:Q262)</f>
        <v>35</v>
      </c>
      <c r="G262" s="68"/>
      <c r="H262" s="68"/>
      <c r="I262" s="153">
        <v>35</v>
      </c>
      <c r="J262" s="69"/>
      <c r="K262" s="68"/>
      <c r="L262" s="68"/>
      <c r="M262" s="68"/>
      <c r="N262" s="168"/>
      <c r="O262" s="68"/>
      <c r="P262" s="68"/>
      <c r="Q262" s="68"/>
      <c r="R262" s="68"/>
      <c r="S262" s="68"/>
    </row>
    <row r="263" spans="1:19" s="25" customFormat="1" ht="12">
      <c r="A263" s="5" t="s">
        <v>58</v>
      </c>
      <c r="B263" s="5"/>
      <c r="C263" s="5"/>
      <c r="D263" s="13" t="s">
        <v>59</v>
      </c>
      <c r="E263" s="119">
        <f>E264+E290+E374+E326</f>
        <v>63179.6</v>
      </c>
      <c r="F263" s="119">
        <f aca="true" t="shared" si="123" ref="F263:Q263">F264+F290+F374+F326</f>
        <v>103180.22046</v>
      </c>
      <c r="G263" s="119">
        <f t="shared" si="123"/>
        <v>0</v>
      </c>
      <c r="H263" s="119">
        <f t="shared" si="123"/>
        <v>44979.71449</v>
      </c>
      <c r="I263" s="121">
        <f t="shared" si="123"/>
        <v>-9422.29074</v>
      </c>
      <c r="J263" s="119">
        <f t="shared" si="123"/>
        <v>-833.33333</v>
      </c>
      <c r="K263" s="119">
        <f t="shared" si="123"/>
        <v>15053.29416</v>
      </c>
      <c r="L263" s="119">
        <f t="shared" si="123"/>
        <v>652.41816</v>
      </c>
      <c r="M263" s="119">
        <f t="shared" si="123"/>
        <v>-972.2178</v>
      </c>
      <c r="N263" s="171">
        <f t="shared" si="123"/>
        <v>1090.33552</v>
      </c>
      <c r="O263" s="119">
        <f t="shared" si="123"/>
        <v>-10689.3</v>
      </c>
      <c r="P263" s="119">
        <f t="shared" si="123"/>
        <v>142</v>
      </c>
      <c r="Q263" s="119">
        <f t="shared" si="123"/>
        <v>0</v>
      </c>
      <c r="R263" s="119">
        <f>R264+R290+R374+R326</f>
        <v>0</v>
      </c>
      <c r="S263" s="119">
        <f>S264+S290+S374+S326</f>
        <v>0</v>
      </c>
    </row>
    <row r="264" spans="1:19" s="25" customFormat="1" ht="12" hidden="1">
      <c r="A264" s="5" t="s">
        <v>64</v>
      </c>
      <c r="B264" s="16"/>
      <c r="C264" s="5"/>
      <c r="D264" s="13" t="s">
        <v>65</v>
      </c>
      <c r="E264" s="119">
        <f>E265+E287+E275+E282</f>
        <v>20789.4</v>
      </c>
      <c r="F264" s="119">
        <f aca="true" t="shared" si="124" ref="F264:Q264">F265+F287+F275+F282</f>
        <v>52963.878849999994</v>
      </c>
      <c r="G264" s="119">
        <f t="shared" si="124"/>
        <v>0</v>
      </c>
      <c r="H264" s="119">
        <f t="shared" si="124"/>
        <v>45376.00249</v>
      </c>
      <c r="I264" s="121">
        <f t="shared" si="124"/>
        <v>-7869.9</v>
      </c>
      <c r="J264" s="119">
        <f t="shared" si="124"/>
        <v>0</v>
      </c>
      <c r="K264" s="119">
        <f t="shared" si="124"/>
        <v>1556.49416</v>
      </c>
      <c r="L264" s="119">
        <f t="shared" si="124"/>
        <v>0</v>
      </c>
      <c r="M264" s="119">
        <f t="shared" si="124"/>
        <v>-972.2178</v>
      </c>
      <c r="N264" s="171">
        <f t="shared" si="124"/>
        <v>0</v>
      </c>
      <c r="O264" s="119">
        <f t="shared" si="124"/>
        <v>-5915.9</v>
      </c>
      <c r="P264" s="119">
        <f t="shared" si="124"/>
        <v>0</v>
      </c>
      <c r="Q264" s="119">
        <f t="shared" si="124"/>
        <v>0</v>
      </c>
      <c r="R264" s="119">
        <f>R265+R287+R275+R282</f>
        <v>0</v>
      </c>
      <c r="S264" s="119">
        <f>S265+S287+S275+S282</f>
        <v>0</v>
      </c>
    </row>
    <row r="265" spans="1:19" s="25" customFormat="1" ht="25.5" hidden="1">
      <c r="A265" s="5"/>
      <c r="B265" s="63" t="s">
        <v>324</v>
      </c>
      <c r="C265" s="11"/>
      <c r="D265" s="60" t="s">
        <v>129</v>
      </c>
      <c r="E265" s="94">
        <f aca="true" t="shared" si="125" ref="E265:S266">E266</f>
        <v>11299.5</v>
      </c>
      <c r="F265" s="94">
        <f t="shared" si="125"/>
        <v>52843.878849999994</v>
      </c>
      <c r="G265" s="71">
        <f t="shared" si="125"/>
        <v>0</v>
      </c>
      <c r="H265" s="71">
        <f t="shared" si="125"/>
        <v>46696.00249</v>
      </c>
      <c r="I265" s="156">
        <f t="shared" si="125"/>
        <v>0</v>
      </c>
      <c r="J265" s="71">
        <f t="shared" si="125"/>
        <v>0</v>
      </c>
      <c r="K265" s="71">
        <f t="shared" si="125"/>
        <v>1556.49416</v>
      </c>
      <c r="L265" s="71">
        <f t="shared" si="125"/>
        <v>0</v>
      </c>
      <c r="M265" s="71">
        <f t="shared" si="125"/>
        <v>-972.2178</v>
      </c>
      <c r="N265" s="174">
        <f t="shared" si="125"/>
        <v>0</v>
      </c>
      <c r="O265" s="71">
        <f t="shared" si="125"/>
        <v>-5735.9</v>
      </c>
      <c r="P265" s="71">
        <f t="shared" si="125"/>
        <v>0</v>
      </c>
      <c r="Q265" s="71">
        <f t="shared" si="125"/>
        <v>0</v>
      </c>
      <c r="R265" s="71">
        <f t="shared" si="125"/>
        <v>0</v>
      </c>
      <c r="S265" s="71">
        <f t="shared" si="125"/>
        <v>0</v>
      </c>
    </row>
    <row r="266" spans="1:19" s="25" customFormat="1" ht="25.5" hidden="1">
      <c r="A266" s="5"/>
      <c r="B266" s="82" t="s">
        <v>328</v>
      </c>
      <c r="C266" s="41"/>
      <c r="D266" s="61" t="s">
        <v>131</v>
      </c>
      <c r="E266" s="79">
        <f>E267</f>
        <v>11299.5</v>
      </c>
      <c r="F266" s="79">
        <f t="shared" si="125"/>
        <v>52843.878849999994</v>
      </c>
      <c r="G266" s="68">
        <f t="shared" si="125"/>
        <v>0</v>
      </c>
      <c r="H266" s="68">
        <f t="shared" si="125"/>
        <v>46696.00249</v>
      </c>
      <c r="I266" s="70">
        <f t="shared" si="125"/>
        <v>0</v>
      </c>
      <c r="J266" s="68">
        <f t="shared" si="125"/>
        <v>0</v>
      </c>
      <c r="K266" s="68">
        <f t="shared" si="125"/>
        <v>1556.49416</v>
      </c>
      <c r="L266" s="68">
        <f t="shared" si="125"/>
        <v>0</v>
      </c>
      <c r="M266" s="68">
        <f t="shared" si="125"/>
        <v>-972.2178</v>
      </c>
      <c r="N266" s="168">
        <f t="shared" si="125"/>
        <v>0</v>
      </c>
      <c r="O266" s="68">
        <f t="shared" si="125"/>
        <v>-5735.9</v>
      </c>
      <c r="P266" s="68">
        <f t="shared" si="125"/>
        <v>0</v>
      </c>
      <c r="Q266" s="68">
        <f t="shared" si="125"/>
        <v>0</v>
      </c>
      <c r="R266" s="68">
        <f t="shared" si="125"/>
        <v>0</v>
      </c>
      <c r="S266" s="68">
        <f t="shared" si="125"/>
        <v>0</v>
      </c>
    </row>
    <row r="267" spans="1:19" s="25" customFormat="1" ht="24" hidden="1">
      <c r="A267" s="5"/>
      <c r="B267" s="66" t="s">
        <v>329</v>
      </c>
      <c r="C267" s="41"/>
      <c r="D267" s="100" t="s">
        <v>332</v>
      </c>
      <c r="E267" s="79">
        <f>E272+E268+E270</f>
        <v>11299.5</v>
      </c>
      <c r="F267" s="79">
        <f aca="true" t="shared" si="126" ref="F267:Q267">F272+F268+F270</f>
        <v>52843.878849999994</v>
      </c>
      <c r="G267" s="79">
        <f t="shared" si="126"/>
        <v>0</v>
      </c>
      <c r="H267" s="79">
        <f t="shared" si="126"/>
        <v>46696.00249</v>
      </c>
      <c r="I267" s="96">
        <f t="shared" si="126"/>
        <v>0</v>
      </c>
      <c r="J267" s="79">
        <f t="shared" si="126"/>
        <v>0</v>
      </c>
      <c r="K267" s="79">
        <f t="shared" si="126"/>
        <v>1556.49416</v>
      </c>
      <c r="L267" s="79">
        <f t="shared" si="126"/>
        <v>0</v>
      </c>
      <c r="M267" s="79">
        <f t="shared" si="126"/>
        <v>-972.2178</v>
      </c>
      <c r="N267" s="170">
        <f t="shared" si="126"/>
        <v>0</v>
      </c>
      <c r="O267" s="79">
        <f t="shared" si="126"/>
        <v>-5735.9</v>
      </c>
      <c r="P267" s="79">
        <f t="shared" si="126"/>
        <v>0</v>
      </c>
      <c r="Q267" s="79">
        <f t="shared" si="126"/>
        <v>0</v>
      </c>
      <c r="R267" s="79">
        <f>R272+R268+R270</f>
        <v>0</v>
      </c>
      <c r="S267" s="79">
        <f>S272+S268+S270</f>
        <v>0</v>
      </c>
    </row>
    <row r="268" spans="1:19" s="25" customFormat="1" ht="48" hidden="1">
      <c r="A268" s="5"/>
      <c r="B268" s="66" t="s">
        <v>449</v>
      </c>
      <c r="C268" s="41"/>
      <c r="D268" s="100" t="s">
        <v>450</v>
      </c>
      <c r="E268" s="79">
        <f>E269</f>
        <v>0</v>
      </c>
      <c r="F268" s="79">
        <f aca="true" t="shared" si="127" ref="F268:S268">F269</f>
        <v>25736.6774</v>
      </c>
      <c r="G268" s="79">
        <f t="shared" si="127"/>
        <v>0</v>
      </c>
      <c r="H268" s="79">
        <f t="shared" si="127"/>
        <v>26708.8952</v>
      </c>
      <c r="I268" s="96">
        <f t="shared" si="127"/>
        <v>0</v>
      </c>
      <c r="J268" s="79">
        <f t="shared" si="127"/>
        <v>0</v>
      </c>
      <c r="K268" s="79">
        <f t="shared" si="127"/>
        <v>0</v>
      </c>
      <c r="L268" s="79">
        <f t="shared" si="127"/>
        <v>0</v>
      </c>
      <c r="M268" s="79">
        <f t="shared" si="127"/>
        <v>-972.2178</v>
      </c>
      <c r="N268" s="170">
        <f t="shared" si="127"/>
        <v>0</v>
      </c>
      <c r="O268" s="79">
        <f t="shared" si="127"/>
        <v>0</v>
      </c>
      <c r="P268" s="79">
        <f t="shared" si="127"/>
        <v>0</v>
      </c>
      <c r="Q268" s="79">
        <f t="shared" si="127"/>
        <v>0</v>
      </c>
      <c r="R268" s="79">
        <f t="shared" si="127"/>
        <v>0</v>
      </c>
      <c r="S268" s="79">
        <f t="shared" si="127"/>
        <v>0</v>
      </c>
    </row>
    <row r="269" spans="1:19" s="25" customFormat="1" ht="38.25" hidden="1">
      <c r="A269" s="5"/>
      <c r="B269" s="66"/>
      <c r="C269" s="41" t="s">
        <v>10</v>
      </c>
      <c r="D269" s="75" t="s">
        <v>99</v>
      </c>
      <c r="E269" s="79"/>
      <c r="F269" s="130">
        <f>E269+SUM(G269:Q269)</f>
        <v>25736.6774</v>
      </c>
      <c r="G269" s="68"/>
      <c r="H269" s="68">
        <v>26708.8952</v>
      </c>
      <c r="I269" s="70"/>
      <c r="J269" s="68"/>
      <c r="K269" s="68"/>
      <c r="L269" s="68"/>
      <c r="M269" s="68">
        <v>-972.2178</v>
      </c>
      <c r="N269" s="168"/>
      <c r="O269" s="68"/>
      <c r="P269" s="68"/>
      <c r="Q269" s="68"/>
      <c r="R269" s="68"/>
      <c r="S269" s="68"/>
    </row>
    <row r="270" spans="1:19" s="25" customFormat="1" ht="48" hidden="1">
      <c r="A270" s="5"/>
      <c r="B270" s="66" t="s">
        <v>330</v>
      </c>
      <c r="C270" s="41"/>
      <c r="D270" s="100" t="s">
        <v>450</v>
      </c>
      <c r="E270" s="79">
        <f>E271</f>
        <v>0</v>
      </c>
      <c r="F270" s="79">
        <f aca="true" t="shared" si="128" ref="F270:S270">F271</f>
        <v>21543.60145</v>
      </c>
      <c r="G270" s="79">
        <f t="shared" si="128"/>
        <v>0</v>
      </c>
      <c r="H270" s="79">
        <f t="shared" si="128"/>
        <v>19987.10729</v>
      </c>
      <c r="I270" s="96">
        <f t="shared" si="128"/>
        <v>0</v>
      </c>
      <c r="J270" s="79">
        <f t="shared" si="128"/>
        <v>0</v>
      </c>
      <c r="K270" s="79">
        <f t="shared" si="128"/>
        <v>1556.49416</v>
      </c>
      <c r="L270" s="79">
        <f t="shared" si="128"/>
        <v>0</v>
      </c>
      <c r="M270" s="79">
        <f t="shared" si="128"/>
        <v>0</v>
      </c>
      <c r="N270" s="170">
        <f t="shared" si="128"/>
        <v>0</v>
      </c>
      <c r="O270" s="79">
        <f t="shared" si="128"/>
        <v>0</v>
      </c>
      <c r="P270" s="79">
        <f t="shared" si="128"/>
        <v>0</v>
      </c>
      <c r="Q270" s="79">
        <f t="shared" si="128"/>
        <v>0</v>
      </c>
      <c r="R270" s="79">
        <f t="shared" si="128"/>
        <v>0</v>
      </c>
      <c r="S270" s="79">
        <f t="shared" si="128"/>
        <v>0</v>
      </c>
    </row>
    <row r="271" spans="1:19" s="25" customFormat="1" ht="38.25" hidden="1">
      <c r="A271" s="5"/>
      <c r="B271" s="66"/>
      <c r="C271" s="41" t="s">
        <v>10</v>
      </c>
      <c r="D271" s="75" t="s">
        <v>99</v>
      </c>
      <c r="E271" s="79"/>
      <c r="F271" s="93">
        <f>E271+SUM(G271:Q271)</f>
        <v>21543.60145</v>
      </c>
      <c r="G271" s="68"/>
      <c r="H271" s="68">
        <v>19987.10729</v>
      </c>
      <c r="I271" s="70"/>
      <c r="J271" s="68"/>
      <c r="K271" s="68">
        <v>1556.49416</v>
      </c>
      <c r="L271" s="68"/>
      <c r="M271" s="68"/>
      <c r="N271" s="168"/>
      <c r="O271" s="68"/>
      <c r="P271" s="68"/>
      <c r="Q271" s="68"/>
      <c r="R271" s="68"/>
      <c r="S271" s="68"/>
    </row>
    <row r="272" spans="1:19" s="25" customFormat="1" ht="48" hidden="1">
      <c r="A272" s="5"/>
      <c r="B272" s="66" t="s">
        <v>437</v>
      </c>
      <c r="C272" s="41"/>
      <c r="D272" s="100" t="s">
        <v>450</v>
      </c>
      <c r="E272" s="79">
        <f>E273+E274</f>
        <v>11299.5</v>
      </c>
      <c r="F272" s="79">
        <f aca="true" t="shared" si="129" ref="F272:Q272">F273+F274</f>
        <v>5563.6</v>
      </c>
      <c r="G272" s="68">
        <f t="shared" si="129"/>
        <v>0</v>
      </c>
      <c r="H272" s="68">
        <f t="shared" si="129"/>
        <v>0</v>
      </c>
      <c r="I272" s="70">
        <f t="shared" si="129"/>
        <v>0</v>
      </c>
      <c r="J272" s="68">
        <f t="shared" si="129"/>
        <v>0</v>
      </c>
      <c r="K272" s="68">
        <f t="shared" si="129"/>
        <v>0</v>
      </c>
      <c r="L272" s="68">
        <f t="shared" si="129"/>
        <v>0</v>
      </c>
      <c r="M272" s="68">
        <f t="shared" si="129"/>
        <v>0</v>
      </c>
      <c r="N272" s="168">
        <f t="shared" si="129"/>
        <v>0</v>
      </c>
      <c r="O272" s="68">
        <f t="shared" si="129"/>
        <v>-5735.9</v>
      </c>
      <c r="P272" s="68">
        <f t="shared" si="129"/>
        <v>0</v>
      </c>
      <c r="Q272" s="68">
        <f t="shared" si="129"/>
        <v>0</v>
      </c>
      <c r="R272" s="68">
        <f>R273+R274</f>
        <v>0</v>
      </c>
      <c r="S272" s="68">
        <f>S273+S274</f>
        <v>0</v>
      </c>
    </row>
    <row r="273" spans="1:19" s="25" customFormat="1" ht="12.75" hidden="1">
      <c r="A273" s="5"/>
      <c r="B273" s="66"/>
      <c r="C273" s="41" t="s">
        <v>6</v>
      </c>
      <c r="D273" s="67" t="s">
        <v>7</v>
      </c>
      <c r="E273" s="79">
        <v>0</v>
      </c>
      <c r="F273" s="93">
        <f>E273+SUM(G273:Q273)</f>
        <v>0</v>
      </c>
      <c r="G273" s="68"/>
      <c r="H273" s="68"/>
      <c r="I273" s="70"/>
      <c r="J273" s="68"/>
      <c r="K273" s="68"/>
      <c r="L273" s="68"/>
      <c r="M273" s="68"/>
      <c r="N273" s="168"/>
      <c r="O273" s="68"/>
      <c r="P273" s="68"/>
      <c r="Q273" s="68"/>
      <c r="R273" s="68"/>
      <c r="S273" s="68"/>
    </row>
    <row r="274" spans="1:19" s="25" customFormat="1" ht="38.25" hidden="1">
      <c r="A274" s="5"/>
      <c r="B274" s="82"/>
      <c r="C274" s="41" t="s">
        <v>10</v>
      </c>
      <c r="D274" s="75" t="s">
        <v>99</v>
      </c>
      <c r="E274" s="79">
        <f>11299.5</f>
        <v>11299.5</v>
      </c>
      <c r="F274" s="93">
        <f>E274+SUM(G274:Q274)</f>
        <v>5563.6</v>
      </c>
      <c r="G274" s="68"/>
      <c r="H274" s="68"/>
      <c r="I274" s="70"/>
      <c r="J274" s="68"/>
      <c r="K274" s="68"/>
      <c r="L274" s="68"/>
      <c r="M274" s="68"/>
      <c r="N274" s="168"/>
      <c r="O274" s="68">
        <f>-5735.9</f>
        <v>-5735.9</v>
      </c>
      <c r="P274" s="68"/>
      <c r="Q274" s="68"/>
      <c r="R274" s="68"/>
      <c r="S274" s="68"/>
    </row>
    <row r="275" spans="1:19" s="24" customFormat="1" ht="51" hidden="1">
      <c r="A275" s="5"/>
      <c r="B275" s="63" t="s">
        <v>339</v>
      </c>
      <c r="C275" s="11"/>
      <c r="D275" s="84" t="s">
        <v>133</v>
      </c>
      <c r="E275" s="95">
        <f aca="true" t="shared" si="130" ref="E275:S278">E276</f>
        <v>0</v>
      </c>
      <c r="F275" s="95">
        <f t="shared" si="130"/>
        <v>0</v>
      </c>
      <c r="G275" s="73">
        <f t="shared" si="130"/>
        <v>0</v>
      </c>
      <c r="H275" s="73">
        <f t="shared" si="130"/>
        <v>0</v>
      </c>
      <c r="I275" s="77">
        <f t="shared" si="130"/>
        <v>0</v>
      </c>
      <c r="J275" s="73">
        <f t="shared" si="130"/>
        <v>0</v>
      </c>
      <c r="K275" s="73">
        <f t="shared" si="130"/>
        <v>0</v>
      </c>
      <c r="L275" s="73">
        <f t="shared" si="130"/>
        <v>0</v>
      </c>
      <c r="M275" s="73">
        <f t="shared" si="130"/>
        <v>0</v>
      </c>
      <c r="N275" s="123">
        <f t="shared" si="130"/>
        <v>0</v>
      </c>
      <c r="O275" s="73">
        <f t="shared" si="130"/>
        <v>0</v>
      </c>
      <c r="P275" s="73">
        <f t="shared" si="130"/>
        <v>0</v>
      </c>
      <c r="Q275" s="73">
        <f t="shared" si="130"/>
        <v>0</v>
      </c>
      <c r="R275" s="73">
        <f t="shared" si="130"/>
        <v>0</v>
      </c>
      <c r="S275" s="73">
        <f t="shared" si="130"/>
        <v>0</v>
      </c>
    </row>
    <row r="276" spans="1:19" s="24" customFormat="1" ht="25.5" hidden="1">
      <c r="A276" s="5"/>
      <c r="B276" s="82" t="s">
        <v>367</v>
      </c>
      <c r="C276" s="41"/>
      <c r="D276" s="85" t="s">
        <v>136</v>
      </c>
      <c r="E276" s="79">
        <f t="shared" si="130"/>
        <v>0</v>
      </c>
      <c r="F276" s="79">
        <f t="shared" si="130"/>
        <v>0</v>
      </c>
      <c r="G276" s="68">
        <f t="shared" si="130"/>
        <v>0</v>
      </c>
      <c r="H276" s="68">
        <f t="shared" si="130"/>
        <v>0</v>
      </c>
      <c r="I276" s="70">
        <f t="shared" si="130"/>
        <v>0</v>
      </c>
      <c r="J276" s="68">
        <f t="shared" si="130"/>
        <v>0</v>
      </c>
      <c r="K276" s="68">
        <f t="shared" si="130"/>
        <v>0</v>
      </c>
      <c r="L276" s="68">
        <f t="shared" si="130"/>
        <v>0</v>
      </c>
      <c r="M276" s="68">
        <f t="shared" si="130"/>
        <v>0</v>
      </c>
      <c r="N276" s="168">
        <f t="shared" si="130"/>
        <v>0</v>
      </c>
      <c r="O276" s="68">
        <f t="shared" si="130"/>
        <v>0</v>
      </c>
      <c r="P276" s="68">
        <f t="shared" si="130"/>
        <v>0</v>
      </c>
      <c r="Q276" s="68">
        <f t="shared" si="130"/>
        <v>0</v>
      </c>
      <c r="R276" s="68">
        <f t="shared" si="130"/>
        <v>0</v>
      </c>
      <c r="S276" s="68">
        <f t="shared" si="130"/>
        <v>0</v>
      </c>
    </row>
    <row r="277" spans="1:19" s="24" customFormat="1" ht="25.5" hidden="1">
      <c r="A277" s="5"/>
      <c r="B277" s="66" t="s">
        <v>368</v>
      </c>
      <c r="C277" s="41"/>
      <c r="D277" s="83" t="s">
        <v>370</v>
      </c>
      <c r="E277" s="79">
        <f>E278+E280</f>
        <v>0</v>
      </c>
      <c r="F277" s="79">
        <f aca="true" t="shared" si="131" ref="F277:Q277">F278+F280</f>
        <v>0</v>
      </c>
      <c r="G277" s="79">
        <f t="shared" si="131"/>
        <v>0</v>
      </c>
      <c r="H277" s="79">
        <f t="shared" si="131"/>
        <v>0</v>
      </c>
      <c r="I277" s="96">
        <f t="shared" si="131"/>
        <v>0</v>
      </c>
      <c r="J277" s="79">
        <f t="shared" si="131"/>
        <v>0</v>
      </c>
      <c r="K277" s="79">
        <f t="shared" si="131"/>
        <v>0</v>
      </c>
      <c r="L277" s="79">
        <f t="shared" si="131"/>
        <v>0</v>
      </c>
      <c r="M277" s="79">
        <f t="shared" si="131"/>
        <v>0</v>
      </c>
      <c r="N277" s="170">
        <f t="shared" si="131"/>
        <v>0</v>
      </c>
      <c r="O277" s="79">
        <f t="shared" si="131"/>
        <v>0</v>
      </c>
      <c r="P277" s="79">
        <f t="shared" si="131"/>
        <v>0</v>
      </c>
      <c r="Q277" s="79">
        <f t="shared" si="131"/>
        <v>0</v>
      </c>
      <c r="R277" s="79">
        <f>R278+R280</f>
        <v>0</v>
      </c>
      <c r="S277" s="79">
        <f>S278+S280</f>
        <v>0</v>
      </c>
    </row>
    <row r="278" spans="1:19" s="24" customFormat="1" ht="25.5" hidden="1">
      <c r="A278" s="17"/>
      <c r="B278" s="66" t="s">
        <v>369</v>
      </c>
      <c r="C278" s="41"/>
      <c r="D278" s="83" t="s">
        <v>371</v>
      </c>
      <c r="E278" s="79">
        <f t="shared" si="130"/>
        <v>0</v>
      </c>
      <c r="F278" s="79">
        <f t="shared" si="130"/>
        <v>0</v>
      </c>
      <c r="G278" s="68">
        <f t="shared" si="130"/>
        <v>0</v>
      </c>
      <c r="H278" s="68">
        <f t="shared" si="130"/>
        <v>0</v>
      </c>
      <c r="I278" s="70">
        <f t="shared" si="130"/>
        <v>0</v>
      </c>
      <c r="J278" s="68">
        <f t="shared" si="130"/>
        <v>0</v>
      </c>
      <c r="K278" s="68">
        <f t="shared" si="130"/>
        <v>0</v>
      </c>
      <c r="L278" s="68">
        <f t="shared" si="130"/>
        <v>0</v>
      </c>
      <c r="M278" s="68">
        <f t="shared" si="130"/>
        <v>0</v>
      </c>
      <c r="N278" s="168">
        <f t="shared" si="130"/>
        <v>0</v>
      </c>
      <c r="O278" s="68">
        <f t="shared" si="130"/>
        <v>0</v>
      </c>
      <c r="P278" s="68">
        <f t="shared" si="130"/>
        <v>0</v>
      </c>
      <c r="Q278" s="68">
        <f t="shared" si="130"/>
        <v>0</v>
      </c>
      <c r="R278" s="68">
        <f t="shared" si="130"/>
        <v>0</v>
      </c>
      <c r="S278" s="68">
        <f t="shared" si="130"/>
        <v>0</v>
      </c>
    </row>
    <row r="279" spans="1:19" s="24" customFormat="1" ht="25.5" hidden="1">
      <c r="A279" s="17"/>
      <c r="B279" s="66"/>
      <c r="C279" s="41" t="s">
        <v>3</v>
      </c>
      <c r="D279" s="67" t="s">
        <v>95</v>
      </c>
      <c r="E279" s="68"/>
      <c r="F279" s="93">
        <f>E279+SUM(G279:Q279)</f>
        <v>0</v>
      </c>
      <c r="G279" s="68"/>
      <c r="H279" s="68"/>
      <c r="I279" s="70"/>
      <c r="J279" s="68"/>
      <c r="K279" s="68"/>
      <c r="L279" s="68"/>
      <c r="M279" s="68"/>
      <c r="N279" s="168"/>
      <c r="O279" s="68"/>
      <c r="P279" s="68"/>
      <c r="Q279" s="68"/>
      <c r="R279" s="68"/>
      <c r="S279" s="68"/>
    </row>
    <row r="280" spans="1:19" s="24" customFormat="1" ht="25.5" hidden="1">
      <c r="A280" s="17"/>
      <c r="B280" s="66" t="s">
        <v>438</v>
      </c>
      <c r="C280" s="41"/>
      <c r="D280" s="83" t="s">
        <v>371</v>
      </c>
      <c r="E280" s="101">
        <f>E281</f>
        <v>0</v>
      </c>
      <c r="F280" s="101">
        <f aca="true" t="shared" si="132" ref="F280:S280">F281</f>
        <v>0</v>
      </c>
      <c r="G280" s="101">
        <f t="shared" si="132"/>
        <v>0</v>
      </c>
      <c r="H280" s="101">
        <f t="shared" si="132"/>
        <v>0</v>
      </c>
      <c r="I280" s="160">
        <f t="shared" si="132"/>
        <v>0</v>
      </c>
      <c r="J280" s="101">
        <f t="shared" si="132"/>
        <v>0</v>
      </c>
      <c r="K280" s="101">
        <f t="shared" si="132"/>
        <v>0</v>
      </c>
      <c r="L280" s="101">
        <f t="shared" si="132"/>
        <v>0</v>
      </c>
      <c r="M280" s="101">
        <f t="shared" si="132"/>
        <v>0</v>
      </c>
      <c r="N280" s="177">
        <f t="shared" si="132"/>
        <v>0</v>
      </c>
      <c r="O280" s="101">
        <f t="shared" si="132"/>
        <v>0</v>
      </c>
      <c r="P280" s="101">
        <f t="shared" si="132"/>
        <v>0</v>
      </c>
      <c r="Q280" s="101">
        <f t="shared" si="132"/>
        <v>0</v>
      </c>
      <c r="R280" s="101">
        <f t="shared" si="132"/>
        <v>0</v>
      </c>
      <c r="S280" s="101">
        <f t="shared" si="132"/>
        <v>0</v>
      </c>
    </row>
    <row r="281" spans="1:19" s="24" customFormat="1" ht="25.5" hidden="1">
      <c r="A281" s="17"/>
      <c r="B281" s="66"/>
      <c r="C281" s="41" t="s">
        <v>11</v>
      </c>
      <c r="D281" s="67" t="s">
        <v>12</v>
      </c>
      <c r="E281" s="101"/>
      <c r="F281" s="93">
        <f>E281+SUM(G281:Q281)</f>
        <v>0</v>
      </c>
      <c r="G281" s="68"/>
      <c r="H281" s="68"/>
      <c r="I281" s="70"/>
      <c r="J281" s="68"/>
      <c r="K281" s="68"/>
      <c r="L281" s="68"/>
      <c r="M281" s="68"/>
      <c r="N281" s="168"/>
      <c r="O281" s="68"/>
      <c r="P281" s="68"/>
      <c r="Q281" s="68"/>
      <c r="R281" s="68"/>
      <c r="S281" s="68"/>
    </row>
    <row r="282" spans="1:19" s="24" customFormat="1" ht="38.25" hidden="1">
      <c r="A282" s="17"/>
      <c r="B282" s="63" t="s">
        <v>372</v>
      </c>
      <c r="C282" s="11"/>
      <c r="D282" s="84" t="s">
        <v>137</v>
      </c>
      <c r="E282" s="95">
        <f aca="true" t="shared" si="133" ref="E282:S285">E283</f>
        <v>300</v>
      </c>
      <c r="F282" s="95">
        <f t="shared" si="133"/>
        <v>120</v>
      </c>
      <c r="G282" s="73">
        <f t="shared" si="133"/>
        <v>0</v>
      </c>
      <c r="H282" s="73">
        <f t="shared" si="133"/>
        <v>0</v>
      </c>
      <c r="I282" s="77">
        <f t="shared" si="133"/>
        <v>0</v>
      </c>
      <c r="J282" s="73">
        <f t="shared" si="133"/>
        <v>0</v>
      </c>
      <c r="K282" s="73">
        <f t="shared" si="133"/>
        <v>0</v>
      </c>
      <c r="L282" s="73">
        <f t="shared" si="133"/>
        <v>0</v>
      </c>
      <c r="M282" s="73">
        <f t="shared" si="133"/>
        <v>0</v>
      </c>
      <c r="N282" s="123">
        <f t="shared" si="133"/>
        <v>0</v>
      </c>
      <c r="O282" s="73">
        <f t="shared" si="133"/>
        <v>-180</v>
      </c>
      <c r="P282" s="73">
        <f t="shared" si="133"/>
        <v>0</v>
      </c>
      <c r="Q282" s="73">
        <f t="shared" si="133"/>
        <v>0</v>
      </c>
      <c r="R282" s="73">
        <f t="shared" si="133"/>
        <v>0</v>
      </c>
      <c r="S282" s="73">
        <f t="shared" si="133"/>
        <v>0</v>
      </c>
    </row>
    <row r="283" spans="1:19" s="24" customFormat="1" ht="25.5" hidden="1">
      <c r="A283" s="17"/>
      <c r="B283" s="82" t="s">
        <v>388</v>
      </c>
      <c r="C283" s="41"/>
      <c r="D283" s="85" t="s">
        <v>139</v>
      </c>
      <c r="E283" s="93">
        <f t="shared" si="133"/>
        <v>300</v>
      </c>
      <c r="F283" s="93">
        <f t="shared" si="133"/>
        <v>120</v>
      </c>
      <c r="G283" s="64">
        <f t="shared" si="133"/>
        <v>0</v>
      </c>
      <c r="H283" s="64">
        <f t="shared" si="133"/>
        <v>0</v>
      </c>
      <c r="I283" s="78">
        <f t="shared" si="133"/>
        <v>0</v>
      </c>
      <c r="J283" s="64">
        <f t="shared" si="133"/>
        <v>0</v>
      </c>
      <c r="K283" s="64">
        <f t="shared" si="133"/>
        <v>0</v>
      </c>
      <c r="L283" s="64">
        <f t="shared" si="133"/>
        <v>0</v>
      </c>
      <c r="M283" s="64">
        <f t="shared" si="133"/>
        <v>0</v>
      </c>
      <c r="N283" s="172">
        <f t="shared" si="133"/>
        <v>0</v>
      </c>
      <c r="O283" s="64">
        <f t="shared" si="133"/>
        <v>-180</v>
      </c>
      <c r="P283" s="64">
        <f t="shared" si="133"/>
        <v>0</v>
      </c>
      <c r="Q283" s="64">
        <f t="shared" si="133"/>
        <v>0</v>
      </c>
      <c r="R283" s="64">
        <f t="shared" si="133"/>
        <v>0</v>
      </c>
      <c r="S283" s="64">
        <f t="shared" si="133"/>
        <v>0</v>
      </c>
    </row>
    <row r="284" spans="1:19" s="24" customFormat="1" ht="25.5" hidden="1">
      <c r="A284" s="17"/>
      <c r="B284" s="66" t="s">
        <v>389</v>
      </c>
      <c r="C284" s="41"/>
      <c r="D284" s="83" t="s">
        <v>391</v>
      </c>
      <c r="E284" s="93">
        <f t="shared" si="133"/>
        <v>300</v>
      </c>
      <c r="F284" s="93">
        <f t="shared" si="133"/>
        <v>120</v>
      </c>
      <c r="G284" s="64">
        <f t="shared" si="133"/>
        <v>0</v>
      </c>
      <c r="H284" s="64">
        <f t="shared" si="133"/>
        <v>0</v>
      </c>
      <c r="I284" s="78">
        <f t="shared" si="133"/>
        <v>0</v>
      </c>
      <c r="J284" s="64">
        <f t="shared" si="133"/>
        <v>0</v>
      </c>
      <c r="K284" s="64">
        <f t="shared" si="133"/>
        <v>0</v>
      </c>
      <c r="L284" s="64">
        <f t="shared" si="133"/>
        <v>0</v>
      </c>
      <c r="M284" s="64">
        <f t="shared" si="133"/>
        <v>0</v>
      </c>
      <c r="N284" s="172">
        <f t="shared" si="133"/>
        <v>0</v>
      </c>
      <c r="O284" s="64">
        <f t="shared" si="133"/>
        <v>-180</v>
      </c>
      <c r="P284" s="64">
        <f t="shared" si="133"/>
        <v>0</v>
      </c>
      <c r="Q284" s="64">
        <f t="shared" si="133"/>
        <v>0</v>
      </c>
      <c r="R284" s="64">
        <f t="shared" si="133"/>
        <v>0</v>
      </c>
      <c r="S284" s="64">
        <f t="shared" si="133"/>
        <v>0</v>
      </c>
    </row>
    <row r="285" spans="1:19" s="24" customFormat="1" ht="12.75" hidden="1">
      <c r="A285" s="17"/>
      <c r="B285" s="66" t="s">
        <v>390</v>
      </c>
      <c r="C285" s="41"/>
      <c r="D285" s="83" t="s">
        <v>392</v>
      </c>
      <c r="E285" s="93">
        <f t="shared" si="133"/>
        <v>300</v>
      </c>
      <c r="F285" s="93">
        <f t="shared" si="133"/>
        <v>120</v>
      </c>
      <c r="G285" s="64">
        <f t="shared" si="133"/>
        <v>0</v>
      </c>
      <c r="H285" s="64">
        <f t="shared" si="133"/>
        <v>0</v>
      </c>
      <c r="I285" s="78">
        <f t="shared" si="133"/>
        <v>0</v>
      </c>
      <c r="J285" s="64">
        <f t="shared" si="133"/>
        <v>0</v>
      </c>
      <c r="K285" s="64">
        <f t="shared" si="133"/>
        <v>0</v>
      </c>
      <c r="L285" s="64">
        <f t="shared" si="133"/>
        <v>0</v>
      </c>
      <c r="M285" s="64">
        <f t="shared" si="133"/>
        <v>0</v>
      </c>
      <c r="N285" s="172">
        <f t="shared" si="133"/>
        <v>0</v>
      </c>
      <c r="O285" s="64">
        <f t="shared" si="133"/>
        <v>-180</v>
      </c>
      <c r="P285" s="64">
        <f t="shared" si="133"/>
        <v>0</v>
      </c>
      <c r="Q285" s="64">
        <f t="shared" si="133"/>
        <v>0</v>
      </c>
      <c r="R285" s="64">
        <f t="shared" si="133"/>
        <v>0</v>
      </c>
      <c r="S285" s="64">
        <f t="shared" si="133"/>
        <v>0</v>
      </c>
    </row>
    <row r="286" spans="1:19" s="24" customFormat="1" ht="25.5" hidden="1">
      <c r="A286" s="17"/>
      <c r="B286" s="66"/>
      <c r="C286" s="41" t="s">
        <v>3</v>
      </c>
      <c r="D286" s="67" t="s">
        <v>95</v>
      </c>
      <c r="E286" s="79">
        <f>300</f>
        <v>300</v>
      </c>
      <c r="F286" s="93">
        <f>E286+SUM(G286:Q286)</f>
        <v>120</v>
      </c>
      <c r="G286" s="64"/>
      <c r="H286" s="64"/>
      <c r="I286" s="154"/>
      <c r="J286" s="65"/>
      <c r="K286" s="64"/>
      <c r="L286" s="64"/>
      <c r="M286" s="64"/>
      <c r="N286" s="172"/>
      <c r="O286" s="64">
        <f>-180</f>
        <v>-180</v>
      </c>
      <c r="P286" s="64"/>
      <c r="Q286" s="64"/>
      <c r="R286" s="64"/>
      <c r="S286" s="64"/>
    </row>
    <row r="287" spans="1:19" s="25" customFormat="1" ht="25.5" hidden="1">
      <c r="A287" s="5"/>
      <c r="B287" s="63" t="s">
        <v>425</v>
      </c>
      <c r="C287" s="11"/>
      <c r="D287" s="84" t="s">
        <v>143</v>
      </c>
      <c r="E287" s="95">
        <f aca="true" t="shared" si="134" ref="E287:S288">E288</f>
        <v>9189.9</v>
      </c>
      <c r="F287" s="95">
        <f t="shared" si="134"/>
        <v>0</v>
      </c>
      <c r="G287" s="73">
        <f t="shared" si="134"/>
        <v>0</v>
      </c>
      <c r="H287" s="73">
        <f t="shared" si="134"/>
        <v>-1320</v>
      </c>
      <c r="I287" s="77">
        <f t="shared" si="134"/>
        <v>-7869.9</v>
      </c>
      <c r="J287" s="73">
        <f t="shared" si="134"/>
        <v>0</v>
      </c>
      <c r="K287" s="73">
        <f t="shared" si="134"/>
        <v>0</v>
      </c>
      <c r="L287" s="73">
        <f t="shared" si="134"/>
        <v>0</v>
      </c>
      <c r="M287" s="73">
        <f t="shared" si="134"/>
        <v>0</v>
      </c>
      <c r="N287" s="123">
        <f t="shared" si="134"/>
        <v>0</v>
      </c>
      <c r="O287" s="73">
        <f t="shared" si="134"/>
        <v>0</v>
      </c>
      <c r="P287" s="73">
        <f t="shared" si="134"/>
        <v>0</v>
      </c>
      <c r="Q287" s="73">
        <f t="shared" si="134"/>
        <v>0</v>
      </c>
      <c r="R287" s="73">
        <f t="shared" si="134"/>
        <v>0</v>
      </c>
      <c r="S287" s="73">
        <f t="shared" si="134"/>
        <v>0</v>
      </c>
    </row>
    <row r="288" spans="1:19" s="25" customFormat="1" ht="25.5" hidden="1">
      <c r="A288" s="5"/>
      <c r="B288" s="66" t="s">
        <v>426</v>
      </c>
      <c r="C288" s="41"/>
      <c r="D288" s="57" t="s">
        <v>104</v>
      </c>
      <c r="E288" s="79">
        <f t="shared" si="134"/>
        <v>9189.9</v>
      </c>
      <c r="F288" s="79">
        <f t="shared" si="134"/>
        <v>0</v>
      </c>
      <c r="G288" s="68">
        <f t="shared" si="134"/>
        <v>0</v>
      </c>
      <c r="H288" s="68">
        <f t="shared" si="134"/>
        <v>-1320</v>
      </c>
      <c r="I288" s="70">
        <f t="shared" si="134"/>
        <v>-7869.9</v>
      </c>
      <c r="J288" s="68">
        <f t="shared" si="134"/>
        <v>0</v>
      </c>
      <c r="K288" s="68">
        <f t="shared" si="134"/>
        <v>0</v>
      </c>
      <c r="L288" s="68">
        <f t="shared" si="134"/>
        <v>0</v>
      </c>
      <c r="M288" s="68">
        <f t="shared" si="134"/>
        <v>0</v>
      </c>
      <c r="N288" s="168">
        <f t="shared" si="134"/>
        <v>0</v>
      </c>
      <c r="O288" s="68">
        <f t="shared" si="134"/>
        <v>0</v>
      </c>
      <c r="P288" s="68">
        <f t="shared" si="134"/>
        <v>0</v>
      </c>
      <c r="Q288" s="68">
        <f t="shared" si="134"/>
        <v>0</v>
      </c>
      <c r="R288" s="68">
        <f t="shared" si="134"/>
        <v>0</v>
      </c>
      <c r="S288" s="68">
        <f t="shared" si="134"/>
        <v>0</v>
      </c>
    </row>
    <row r="289" spans="1:19" s="25" customFormat="1" ht="38.25" hidden="1">
      <c r="A289" s="5"/>
      <c r="B289" s="56"/>
      <c r="C289" s="86" t="s">
        <v>10</v>
      </c>
      <c r="D289" s="75" t="s">
        <v>99</v>
      </c>
      <c r="E289" s="79">
        <f>9189.9</f>
        <v>9189.9</v>
      </c>
      <c r="F289" s="93">
        <f>E289+SUM(G289:Q289)</f>
        <v>0</v>
      </c>
      <c r="G289" s="68"/>
      <c r="H289" s="68">
        <v>-1320</v>
      </c>
      <c r="I289" s="70">
        <f>-7869.9</f>
        <v>-7869.9</v>
      </c>
      <c r="J289" s="68"/>
      <c r="K289" s="68"/>
      <c r="L289" s="68"/>
      <c r="M289" s="68"/>
      <c r="N289" s="168"/>
      <c r="O289" s="68"/>
      <c r="P289" s="68"/>
      <c r="Q289" s="68"/>
      <c r="R289" s="68"/>
      <c r="S289" s="68"/>
    </row>
    <row r="290" spans="1:19" s="25" customFormat="1" ht="12.75" hidden="1">
      <c r="A290" s="11" t="s">
        <v>60</v>
      </c>
      <c r="B290" s="66"/>
      <c r="C290" s="41"/>
      <c r="D290" s="113" t="s">
        <v>61</v>
      </c>
      <c r="E290" s="95">
        <f>E323+E291+E315+E320</f>
        <v>5091.6</v>
      </c>
      <c r="F290" s="95">
        <f aca="true" t="shared" si="135" ref="F290:Q290">F323+F291+F315+F320</f>
        <v>2011.3149599999997</v>
      </c>
      <c r="G290" s="95">
        <f t="shared" si="135"/>
        <v>0</v>
      </c>
      <c r="H290" s="95">
        <f t="shared" si="135"/>
        <v>531.24</v>
      </c>
      <c r="I290" s="95">
        <f t="shared" si="135"/>
        <v>0</v>
      </c>
      <c r="J290" s="95">
        <f t="shared" si="135"/>
        <v>0</v>
      </c>
      <c r="K290" s="95">
        <f t="shared" si="135"/>
        <v>0</v>
      </c>
      <c r="L290" s="95">
        <f t="shared" si="135"/>
        <v>598.90496</v>
      </c>
      <c r="M290" s="95">
        <f t="shared" si="135"/>
        <v>0</v>
      </c>
      <c r="N290" s="169">
        <f t="shared" si="135"/>
        <v>602.97</v>
      </c>
      <c r="O290" s="95">
        <f t="shared" si="135"/>
        <v>-4813.4</v>
      </c>
      <c r="P290" s="95">
        <f t="shared" si="135"/>
        <v>0</v>
      </c>
      <c r="Q290" s="95">
        <f t="shared" si="135"/>
        <v>0</v>
      </c>
      <c r="R290" s="95">
        <f>R323+R291+R315+R320</f>
        <v>0</v>
      </c>
      <c r="S290" s="95">
        <f>S323+S291+S315+S320</f>
        <v>0</v>
      </c>
    </row>
    <row r="291" spans="1:19" s="24" customFormat="1" ht="51" hidden="1">
      <c r="A291" s="5"/>
      <c r="B291" s="63" t="s">
        <v>339</v>
      </c>
      <c r="C291" s="11"/>
      <c r="D291" s="84" t="s">
        <v>133</v>
      </c>
      <c r="E291" s="95">
        <f aca="true" t="shared" si="136" ref="E291:Q291">E292+E305</f>
        <v>4791.6</v>
      </c>
      <c r="F291" s="95">
        <f t="shared" si="136"/>
        <v>195.0999999999999</v>
      </c>
      <c r="G291" s="73">
        <f t="shared" si="136"/>
        <v>0</v>
      </c>
      <c r="H291" s="73">
        <f t="shared" si="136"/>
        <v>0</v>
      </c>
      <c r="I291" s="77">
        <f t="shared" si="136"/>
        <v>0</v>
      </c>
      <c r="J291" s="73">
        <f t="shared" si="136"/>
        <v>0</v>
      </c>
      <c r="K291" s="73">
        <f t="shared" si="136"/>
        <v>0</v>
      </c>
      <c r="L291" s="73">
        <f t="shared" si="136"/>
        <v>0</v>
      </c>
      <c r="M291" s="73">
        <f t="shared" si="136"/>
        <v>0</v>
      </c>
      <c r="N291" s="123">
        <f t="shared" si="136"/>
        <v>0</v>
      </c>
      <c r="O291" s="73">
        <f t="shared" si="136"/>
        <v>-4596.5</v>
      </c>
      <c r="P291" s="73">
        <f t="shared" si="136"/>
        <v>0</v>
      </c>
      <c r="Q291" s="73">
        <f t="shared" si="136"/>
        <v>0</v>
      </c>
      <c r="R291" s="73">
        <f>R292+R305</f>
        <v>0</v>
      </c>
      <c r="S291" s="73">
        <f>S292+S305</f>
        <v>0</v>
      </c>
    </row>
    <row r="292" spans="1:19" s="24" customFormat="1" ht="27.75" customHeight="1" hidden="1">
      <c r="A292" s="5"/>
      <c r="B292" s="82" t="s">
        <v>340</v>
      </c>
      <c r="C292" s="41"/>
      <c r="D292" s="85" t="s">
        <v>134</v>
      </c>
      <c r="E292" s="79">
        <f aca="true" t="shared" si="137" ref="E292:Q292">E293+E296+E299+E302</f>
        <v>3200</v>
      </c>
      <c r="F292" s="79">
        <f t="shared" si="137"/>
        <v>195.0999999999999</v>
      </c>
      <c r="G292" s="68">
        <f t="shared" si="137"/>
        <v>0</v>
      </c>
      <c r="H292" s="68">
        <f t="shared" si="137"/>
        <v>0</v>
      </c>
      <c r="I292" s="70">
        <f t="shared" si="137"/>
        <v>0</v>
      </c>
      <c r="J292" s="68">
        <f t="shared" si="137"/>
        <v>0</v>
      </c>
      <c r="K292" s="68">
        <f t="shared" si="137"/>
        <v>0</v>
      </c>
      <c r="L292" s="68">
        <f t="shared" si="137"/>
        <v>0</v>
      </c>
      <c r="M292" s="68">
        <f t="shared" si="137"/>
        <v>0</v>
      </c>
      <c r="N292" s="168">
        <f t="shared" si="137"/>
        <v>0</v>
      </c>
      <c r="O292" s="68">
        <f t="shared" si="137"/>
        <v>-3004.9</v>
      </c>
      <c r="P292" s="68">
        <f t="shared" si="137"/>
        <v>0</v>
      </c>
      <c r="Q292" s="68">
        <f t="shared" si="137"/>
        <v>0</v>
      </c>
      <c r="R292" s="68">
        <f>R293+R296+R299+R302</f>
        <v>0</v>
      </c>
      <c r="S292" s="68">
        <f>S293+S296+S299+S302</f>
        <v>0</v>
      </c>
    </row>
    <row r="293" spans="1:19" s="24" customFormat="1" ht="77.25" customHeight="1" hidden="1">
      <c r="A293" s="17"/>
      <c r="B293" s="66" t="s">
        <v>341</v>
      </c>
      <c r="C293" s="41"/>
      <c r="D293" s="83" t="s">
        <v>343</v>
      </c>
      <c r="E293" s="79">
        <f>E294</f>
        <v>0</v>
      </c>
      <c r="F293" s="79">
        <f aca="true" t="shared" si="138" ref="F293:S294">F294</f>
        <v>0</v>
      </c>
      <c r="G293" s="68">
        <f t="shared" si="138"/>
        <v>0</v>
      </c>
      <c r="H293" s="68">
        <f t="shared" si="138"/>
        <v>0</v>
      </c>
      <c r="I293" s="70">
        <f t="shared" si="138"/>
        <v>0</v>
      </c>
      <c r="J293" s="68">
        <f t="shared" si="138"/>
        <v>0</v>
      </c>
      <c r="K293" s="68">
        <f t="shared" si="138"/>
        <v>0</v>
      </c>
      <c r="L293" s="68">
        <f t="shared" si="138"/>
        <v>0</v>
      </c>
      <c r="M293" s="68">
        <f t="shared" si="138"/>
        <v>0</v>
      </c>
      <c r="N293" s="168">
        <f t="shared" si="138"/>
        <v>0</v>
      </c>
      <c r="O293" s="68">
        <f t="shared" si="138"/>
        <v>0</v>
      </c>
      <c r="P293" s="68">
        <f t="shared" si="138"/>
        <v>0</v>
      </c>
      <c r="Q293" s="68">
        <f t="shared" si="138"/>
        <v>0</v>
      </c>
      <c r="R293" s="68">
        <f t="shared" si="138"/>
        <v>0</v>
      </c>
      <c r="S293" s="68">
        <f t="shared" si="138"/>
        <v>0</v>
      </c>
    </row>
    <row r="294" spans="1:19" s="24" customFormat="1" ht="42" customHeight="1" hidden="1">
      <c r="A294" s="5"/>
      <c r="B294" s="66" t="s">
        <v>342</v>
      </c>
      <c r="C294" s="41"/>
      <c r="D294" s="83" t="s">
        <v>344</v>
      </c>
      <c r="E294" s="79">
        <f>E295</f>
        <v>0</v>
      </c>
      <c r="F294" s="79">
        <f t="shared" si="138"/>
        <v>0</v>
      </c>
      <c r="G294" s="68">
        <f t="shared" si="138"/>
        <v>0</v>
      </c>
      <c r="H294" s="68">
        <f t="shared" si="138"/>
        <v>0</v>
      </c>
      <c r="I294" s="70">
        <f t="shared" si="138"/>
        <v>0</v>
      </c>
      <c r="J294" s="68">
        <f t="shared" si="138"/>
        <v>0</v>
      </c>
      <c r="K294" s="68">
        <f t="shared" si="138"/>
        <v>0</v>
      </c>
      <c r="L294" s="68">
        <f t="shared" si="138"/>
        <v>0</v>
      </c>
      <c r="M294" s="68">
        <f t="shared" si="138"/>
        <v>0</v>
      </c>
      <c r="N294" s="168">
        <f t="shared" si="138"/>
        <v>0</v>
      </c>
      <c r="O294" s="68">
        <f t="shared" si="138"/>
        <v>0</v>
      </c>
      <c r="P294" s="68">
        <f t="shared" si="138"/>
        <v>0</v>
      </c>
      <c r="Q294" s="68">
        <f t="shared" si="138"/>
        <v>0</v>
      </c>
      <c r="R294" s="68">
        <f t="shared" si="138"/>
        <v>0</v>
      </c>
      <c r="S294" s="68">
        <f t="shared" si="138"/>
        <v>0</v>
      </c>
    </row>
    <row r="295" spans="1:19" s="24" customFormat="1" ht="38.25" hidden="1">
      <c r="A295" s="5"/>
      <c r="B295" s="66"/>
      <c r="C295" s="41" t="s">
        <v>10</v>
      </c>
      <c r="D295" s="109" t="s">
        <v>99</v>
      </c>
      <c r="E295" s="79">
        <v>0</v>
      </c>
      <c r="F295" s="93">
        <f>E295+SUM(G295:Q295)</f>
        <v>0</v>
      </c>
      <c r="G295" s="68"/>
      <c r="H295" s="68"/>
      <c r="I295" s="153"/>
      <c r="J295" s="69"/>
      <c r="K295" s="68"/>
      <c r="L295" s="68"/>
      <c r="M295" s="68"/>
      <c r="N295" s="168"/>
      <c r="O295" s="68"/>
      <c r="P295" s="68"/>
      <c r="Q295" s="68"/>
      <c r="R295" s="68"/>
      <c r="S295" s="68"/>
    </row>
    <row r="296" spans="1:19" s="24" customFormat="1" ht="45.75" customHeight="1" hidden="1">
      <c r="A296" s="5"/>
      <c r="B296" s="66" t="s">
        <v>345</v>
      </c>
      <c r="C296" s="41"/>
      <c r="D296" s="83" t="s">
        <v>158</v>
      </c>
      <c r="E296" s="79">
        <f>E297</f>
        <v>0</v>
      </c>
      <c r="F296" s="79">
        <f aca="true" t="shared" si="139" ref="F296:S297">F297</f>
        <v>0</v>
      </c>
      <c r="G296" s="68">
        <f t="shared" si="139"/>
        <v>0</v>
      </c>
      <c r="H296" s="68">
        <f t="shared" si="139"/>
        <v>0</v>
      </c>
      <c r="I296" s="70">
        <f t="shared" si="139"/>
        <v>0</v>
      </c>
      <c r="J296" s="68">
        <f t="shared" si="139"/>
        <v>0</v>
      </c>
      <c r="K296" s="68">
        <f t="shared" si="139"/>
        <v>0</v>
      </c>
      <c r="L296" s="68">
        <f t="shared" si="139"/>
        <v>0</v>
      </c>
      <c r="M296" s="68">
        <f t="shared" si="139"/>
        <v>0</v>
      </c>
      <c r="N296" s="168">
        <f t="shared" si="139"/>
        <v>0</v>
      </c>
      <c r="O296" s="68">
        <f t="shared" si="139"/>
        <v>0</v>
      </c>
      <c r="P296" s="68">
        <f t="shared" si="139"/>
        <v>0</v>
      </c>
      <c r="Q296" s="68">
        <f t="shared" si="139"/>
        <v>0</v>
      </c>
      <c r="R296" s="68">
        <f t="shared" si="139"/>
        <v>0</v>
      </c>
      <c r="S296" s="68">
        <f t="shared" si="139"/>
        <v>0</v>
      </c>
    </row>
    <row r="297" spans="1:19" s="24" customFormat="1" ht="25.5" hidden="1">
      <c r="A297" s="5"/>
      <c r="B297" s="66" t="s">
        <v>346</v>
      </c>
      <c r="C297" s="41"/>
      <c r="D297" s="83" t="s">
        <v>344</v>
      </c>
      <c r="E297" s="79">
        <f>E298</f>
        <v>0</v>
      </c>
      <c r="F297" s="79">
        <f t="shared" si="139"/>
        <v>0</v>
      </c>
      <c r="G297" s="68">
        <f t="shared" si="139"/>
        <v>0</v>
      </c>
      <c r="H297" s="68">
        <f t="shared" si="139"/>
        <v>0</v>
      </c>
      <c r="I297" s="70">
        <f t="shared" si="139"/>
        <v>0</v>
      </c>
      <c r="J297" s="68">
        <f t="shared" si="139"/>
        <v>0</v>
      </c>
      <c r="K297" s="68">
        <f t="shared" si="139"/>
        <v>0</v>
      </c>
      <c r="L297" s="68">
        <f t="shared" si="139"/>
        <v>0</v>
      </c>
      <c r="M297" s="68">
        <f t="shared" si="139"/>
        <v>0</v>
      </c>
      <c r="N297" s="168">
        <f t="shared" si="139"/>
        <v>0</v>
      </c>
      <c r="O297" s="68">
        <f t="shared" si="139"/>
        <v>0</v>
      </c>
      <c r="P297" s="68">
        <f t="shared" si="139"/>
        <v>0</v>
      </c>
      <c r="Q297" s="68">
        <f t="shared" si="139"/>
        <v>0</v>
      </c>
      <c r="R297" s="68">
        <f t="shared" si="139"/>
        <v>0</v>
      </c>
      <c r="S297" s="68">
        <f t="shared" si="139"/>
        <v>0</v>
      </c>
    </row>
    <row r="298" spans="1:19" s="24" customFormat="1" ht="38.25" hidden="1">
      <c r="A298" s="5"/>
      <c r="B298" s="66"/>
      <c r="C298" s="41" t="s">
        <v>10</v>
      </c>
      <c r="D298" s="75" t="s">
        <v>99</v>
      </c>
      <c r="E298" s="79">
        <v>0</v>
      </c>
      <c r="F298" s="93">
        <f>E298+SUM(G298:Q298)</f>
        <v>0</v>
      </c>
      <c r="G298" s="68"/>
      <c r="H298" s="68"/>
      <c r="I298" s="153"/>
      <c r="J298" s="69"/>
      <c r="K298" s="68"/>
      <c r="L298" s="68"/>
      <c r="M298" s="68"/>
      <c r="N298" s="168"/>
      <c r="O298" s="68"/>
      <c r="P298" s="68"/>
      <c r="Q298" s="68"/>
      <c r="R298" s="68"/>
      <c r="S298" s="68"/>
    </row>
    <row r="299" spans="1:19" s="24" customFormat="1" ht="38.25" hidden="1">
      <c r="A299" s="5"/>
      <c r="B299" s="66" t="s">
        <v>347</v>
      </c>
      <c r="C299" s="41"/>
      <c r="D299" s="83" t="s">
        <v>349</v>
      </c>
      <c r="E299" s="79">
        <f>E300</f>
        <v>1700</v>
      </c>
      <c r="F299" s="79">
        <f aca="true" t="shared" si="140" ref="F299:S300">F300</f>
        <v>195.0999999999999</v>
      </c>
      <c r="G299" s="68">
        <f t="shared" si="140"/>
        <v>0</v>
      </c>
      <c r="H299" s="68">
        <f t="shared" si="140"/>
        <v>0</v>
      </c>
      <c r="I299" s="70">
        <f t="shared" si="140"/>
        <v>0</v>
      </c>
      <c r="J299" s="68">
        <f t="shared" si="140"/>
        <v>0</v>
      </c>
      <c r="K299" s="68">
        <f t="shared" si="140"/>
        <v>0</v>
      </c>
      <c r="L299" s="68">
        <f t="shared" si="140"/>
        <v>0</v>
      </c>
      <c r="M299" s="68">
        <f t="shared" si="140"/>
        <v>0</v>
      </c>
      <c r="N299" s="168">
        <f t="shared" si="140"/>
        <v>0</v>
      </c>
      <c r="O299" s="68">
        <f t="shared" si="140"/>
        <v>-1504.9</v>
      </c>
      <c r="P299" s="68">
        <f t="shared" si="140"/>
        <v>0</v>
      </c>
      <c r="Q299" s="68">
        <f t="shared" si="140"/>
        <v>0</v>
      </c>
      <c r="R299" s="68">
        <f t="shared" si="140"/>
        <v>0</v>
      </c>
      <c r="S299" s="68">
        <f t="shared" si="140"/>
        <v>0</v>
      </c>
    </row>
    <row r="300" spans="1:19" s="24" customFormat="1" ht="25.5" hidden="1">
      <c r="A300" s="5"/>
      <c r="B300" s="66" t="s">
        <v>348</v>
      </c>
      <c r="C300" s="41"/>
      <c r="D300" s="83" t="s">
        <v>344</v>
      </c>
      <c r="E300" s="79">
        <f>E301</f>
        <v>1700</v>
      </c>
      <c r="F300" s="79">
        <f t="shared" si="140"/>
        <v>195.0999999999999</v>
      </c>
      <c r="G300" s="68">
        <f t="shared" si="140"/>
        <v>0</v>
      </c>
      <c r="H300" s="68">
        <f t="shared" si="140"/>
        <v>0</v>
      </c>
      <c r="I300" s="70">
        <f t="shared" si="140"/>
        <v>0</v>
      </c>
      <c r="J300" s="68">
        <f t="shared" si="140"/>
        <v>0</v>
      </c>
      <c r="K300" s="68">
        <f t="shared" si="140"/>
        <v>0</v>
      </c>
      <c r="L300" s="68">
        <f t="shared" si="140"/>
        <v>0</v>
      </c>
      <c r="M300" s="68">
        <f t="shared" si="140"/>
        <v>0</v>
      </c>
      <c r="N300" s="168">
        <f t="shared" si="140"/>
        <v>0</v>
      </c>
      <c r="O300" s="68">
        <f t="shared" si="140"/>
        <v>-1504.9</v>
      </c>
      <c r="P300" s="68">
        <f t="shared" si="140"/>
        <v>0</v>
      </c>
      <c r="Q300" s="68">
        <f t="shared" si="140"/>
        <v>0</v>
      </c>
      <c r="R300" s="68">
        <f t="shared" si="140"/>
        <v>0</v>
      </c>
      <c r="S300" s="68">
        <f t="shared" si="140"/>
        <v>0</v>
      </c>
    </row>
    <row r="301" spans="1:19" s="24" customFormat="1" ht="38.25" hidden="1">
      <c r="A301" s="5"/>
      <c r="B301" s="66"/>
      <c r="C301" s="41" t="s">
        <v>10</v>
      </c>
      <c r="D301" s="75" t="s">
        <v>99</v>
      </c>
      <c r="E301" s="79">
        <f>1700</f>
        <v>1700</v>
      </c>
      <c r="F301" s="93">
        <f>E301+SUM(G301:Q301)</f>
        <v>195.0999999999999</v>
      </c>
      <c r="G301" s="68"/>
      <c r="H301" s="68"/>
      <c r="I301" s="153"/>
      <c r="J301" s="69"/>
      <c r="K301" s="68"/>
      <c r="L301" s="68"/>
      <c r="M301" s="68"/>
      <c r="N301" s="168"/>
      <c r="O301" s="68">
        <f>-1504.9</f>
        <v>-1504.9</v>
      </c>
      <c r="P301" s="68"/>
      <c r="Q301" s="68"/>
      <c r="R301" s="68"/>
      <c r="S301" s="68"/>
    </row>
    <row r="302" spans="1:19" s="24" customFormat="1" ht="38.25" hidden="1">
      <c r="A302" s="5"/>
      <c r="B302" s="66" t="s">
        <v>505</v>
      </c>
      <c r="C302" s="41"/>
      <c r="D302" s="75" t="s">
        <v>507</v>
      </c>
      <c r="E302" s="79">
        <f>E303</f>
        <v>1500</v>
      </c>
      <c r="F302" s="79">
        <f aca="true" t="shared" si="141" ref="F302:S303">F303</f>
        <v>0</v>
      </c>
      <c r="G302" s="68">
        <f t="shared" si="141"/>
        <v>0</v>
      </c>
      <c r="H302" s="68">
        <f t="shared" si="141"/>
        <v>0</v>
      </c>
      <c r="I302" s="70">
        <f t="shared" si="141"/>
        <v>0</v>
      </c>
      <c r="J302" s="68">
        <f t="shared" si="141"/>
        <v>0</v>
      </c>
      <c r="K302" s="68">
        <f t="shared" si="141"/>
        <v>0</v>
      </c>
      <c r="L302" s="68">
        <f t="shared" si="141"/>
        <v>0</v>
      </c>
      <c r="M302" s="68">
        <f t="shared" si="141"/>
        <v>0</v>
      </c>
      <c r="N302" s="168">
        <f t="shared" si="141"/>
        <v>0</v>
      </c>
      <c r="O302" s="68">
        <f t="shared" si="141"/>
        <v>-1500</v>
      </c>
      <c r="P302" s="68">
        <f t="shared" si="141"/>
        <v>0</v>
      </c>
      <c r="Q302" s="68">
        <f t="shared" si="141"/>
        <v>0</v>
      </c>
      <c r="R302" s="68">
        <f t="shared" si="141"/>
        <v>0</v>
      </c>
      <c r="S302" s="68">
        <f t="shared" si="141"/>
        <v>0</v>
      </c>
    </row>
    <row r="303" spans="1:19" s="24" customFormat="1" ht="25.5" hidden="1">
      <c r="A303" s="5"/>
      <c r="B303" s="66" t="s">
        <v>506</v>
      </c>
      <c r="C303" s="41"/>
      <c r="D303" s="75" t="s">
        <v>508</v>
      </c>
      <c r="E303" s="79">
        <f>E304</f>
        <v>1500</v>
      </c>
      <c r="F303" s="79">
        <f t="shared" si="141"/>
        <v>0</v>
      </c>
      <c r="G303" s="68">
        <f t="shared" si="141"/>
        <v>0</v>
      </c>
      <c r="H303" s="68">
        <f t="shared" si="141"/>
        <v>0</v>
      </c>
      <c r="I303" s="70">
        <f t="shared" si="141"/>
        <v>0</v>
      </c>
      <c r="J303" s="68">
        <f t="shared" si="141"/>
        <v>0</v>
      </c>
      <c r="K303" s="68">
        <f t="shared" si="141"/>
        <v>0</v>
      </c>
      <c r="L303" s="68">
        <f t="shared" si="141"/>
        <v>0</v>
      </c>
      <c r="M303" s="68">
        <f t="shared" si="141"/>
        <v>0</v>
      </c>
      <c r="N303" s="168">
        <f t="shared" si="141"/>
        <v>0</v>
      </c>
      <c r="O303" s="68">
        <f t="shared" si="141"/>
        <v>-1500</v>
      </c>
      <c r="P303" s="68">
        <f t="shared" si="141"/>
        <v>0</v>
      </c>
      <c r="Q303" s="68">
        <f t="shared" si="141"/>
        <v>0</v>
      </c>
      <c r="R303" s="68">
        <f t="shared" si="141"/>
        <v>0</v>
      </c>
      <c r="S303" s="68">
        <f t="shared" si="141"/>
        <v>0</v>
      </c>
    </row>
    <row r="304" spans="1:19" s="24" customFormat="1" ht="38.25" hidden="1">
      <c r="A304" s="5"/>
      <c r="B304" s="66"/>
      <c r="C304" s="41" t="s">
        <v>10</v>
      </c>
      <c r="D304" s="75" t="s">
        <v>99</v>
      </c>
      <c r="E304" s="79">
        <f>1500</f>
        <v>1500</v>
      </c>
      <c r="F304" s="93">
        <f>E304+SUM(G304:Q304)</f>
        <v>0</v>
      </c>
      <c r="G304" s="68"/>
      <c r="H304" s="68"/>
      <c r="I304" s="153"/>
      <c r="J304" s="69"/>
      <c r="K304" s="68"/>
      <c r="L304" s="68"/>
      <c r="M304" s="68"/>
      <c r="N304" s="168"/>
      <c r="O304" s="68">
        <f>-1500</f>
        <v>-1500</v>
      </c>
      <c r="P304" s="68"/>
      <c r="Q304" s="68"/>
      <c r="R304" s="68"/>
      <c r="S304" s="68"/>
    </row>
    <row r="305" spans="1:20" s="24" customFormat="1" ht="38.25" hidden="1">
      <c r="A305" s="5"/>
      <c r="B305" s="82" t="s">
        <v>353</v>
      </c>
      <c r="C305" s="41"/>
      <c r="D305" s="85" t="s">
        <v>135</v>
      </c>
      <c r="E305" s="79">
        <f aca="true" t="shared" si="142" ref="E305:S305">E306</f>
        <v>1591.6</v>
      </c>
      <c r="F305" s="79">
        <f t="shared" si="142"/>
        <v>0</v>
      </c>
      <c r="G305" s="68">
        <f t="shared" si="142"/>
        <v>0</v>
      </c>
      <c r="H305" s="68">
        <f t="shared" si="142"/>
        <v>0</v>
      </c>
      <c r="I305" s="70">
        <f t="shared" si="142"/>
        <v>0</v>
      </c>
      <c r="J305" s="68">
        <f t="shared" si="142"/>
        <v>0</v>
      </c>
      <c r="K305" s="68">
        <f t="shared" si="142"/>
        <v>0</v>
      </c>
      <c r="L305" s="68">
        <f t="shared" si="142"/>
        <v>0</v>
      </c>
      <c r="M305" s="68">
        <f t="shared" si="142"/>
        <v>0</v>
      </c>
      <c r="N305" s="168">
        <f t="shared" si="142"/>
        <v>0</v>
      </c>
      <c r="O305" s="68">
        <f t="shared" si="142"/>
        <v>-1591.6</v>
      </c>
      <c r="P305" s="68">
        <f t="shared" si="142"/>
        <v>0</v>
      </c>
      <c r="Q305" s="68">
        <f t="shared" si="142"/>
        <v>0</v>
      </c>
      <c r="R305" s="68">
        <f t="shared" si="142"/>
        <v>0</v>
      </c>
      <c r="S305" s="68">
        <f t="shared" si="142"/>
        <v>0</v>
      </c>
      <c r="T305" s="25"/>
    </row>
    <row r="306" spans="1:20" s="24" customFormat="1" ht="63.75" hidden="1">
      <c r="A306" s="5"/>
      <c r="B306" s="66" t="s">
        <v>354</v>
      </c>
      <c r="C306" s="41"/>
      <c r="D306" s="83" t="s">
        <v>356</v>
      </c>
      <c r="E306" s="79">
        <f>E313+E307+E309+E311</f>
        <v>1591.6</v>
      </c>
      <c r="F306" s="79">
        <f aca="true" t="shared" si="143" ref="F306:Q306">F313+F307+F309+F311</f>
        <v>0</v>
      </c>
      <c r="G306" s="79">
        <f t="shared" si="143"/>
        <v>0</v>
      </c>
      <c r="H306" s="79">
        <f t="shared" si="143"/>
        <v>0</v>
      </c>
      <c r="I306" s="96">
        <f t="shared" si="143"/>
        <v>0</v>
      </c>
      <c r="J306" s="79">
        <f t="shared" si="143"/>
        <v>0</v>
      </c>
      <c r="K306" s="79">
        <f t="shared" si="143"/>
        <v>0</v>
      </c>
      <c r="L306" s="79">
        <f t="shared" si="143"/>
        <v>0</v>
      </c>
      <c r="M306" s="79">
        <f t="shared" si="143"/>
        <v>0</v>
      </c>
      <c r="N306" s="170">
        <f t="shared" si="143"/>
        <v>0</v>
      </c>
      <c r="O306" s="79">
        <f t="shared" si="143"/>
        <v>-1591.6</v>
      </c>
      <c r="P306" s="79">
        <f t="shared" si="143"/>
        <v>0</v>
      </c>
      <c r="Q306" s="79">
        <f t="shared" si="143"/>
        <v>0</v>
      </c>
      <c r="R306" s="79">
        <f>R313+R307+R309+R311</f>
        <v>0</v>
      </c>
      <c r="S306" s="79">
        <f>S313+S307+S309+S311</f>
        <v>0</v>
      </c>
      <c r="T306" s="25"/>
    </row>
    <row r="307" spans="1:20" s="24" customFormat="1" ht="51" hidden="1">
      <c r="A307" s="5"/>
      <c r="B307" s="66" t="s">
        <v>456</v>
      </c>
      <c r="C307" s="41"/>
      <c r="D307" s="83" t="s">
        <v>159</v>
      </c>
      <c r="E307" s="79">
        <f>E308</f>
        <v>0</v>
      </c>
      <c r="F307" s="79">
        <f aca="true" t="shared" si="144" ref="F307:S307">F308</f>
        <v>0</v>
      </c>
      <c r="G307" s="79">
        <f t="shared" si="144"/>
        <v>0</v>
      </c>
      <c r="H307" s="79">
        <f t="shared" si="144"/>
        <v>0</v>
      </c>
      <c r="I307" s="96">
        <f t="shared" si="144"/>
        <v>0</v>
      </c>
      <c r="J307" s="79">
        <f t="shared" si="144"/>
        <v>0</v>
      </c>
      <c r="K307" s="79">
        <f t="shared" si="144"/>
        <v>0</v>
      </c>
      <c r="L307" s="79">
        <f t="shared" si="144"/>
        <v>0</v>
      </c>
      <c r="M307" s="79">
        <f t="shared" si="144"/>
        <v>0</v>
      </c>
      <c r="N307" s="170">
        <f t="shared" si="144"/>
        <v>0</v>
      </c>
      <c r="O307" s="79">
        <f t="shared" si="144"/>
        <v>0</v>
      </c>
      <c r="P307" s="79">
        <f t="shared" si="144"/>
        <v>0</v>
      </c>
      <c r="Q307" s="79">
        <f t="shared" si="144"/>
        <v>0</v>
      </c>
      <c r="R307" s="79">
        <f t="shared" si="144"/>
        <v>0</v>
      </c>
      <c r="S307" s="79">
        <f t="shared" si="144"/>
        <v>0</v>
      </c>
      <c r="T307" s="25"/>
    </row>
    <row r="308" spans="1:20" s="24" customFormat="1" ht="38.25" hidden="1">
      <c r="A308" s="5"/>
      <c r="B308" s="66"/>
      <c r="C308" s="41" t="s">
        <v>10</v>
      </c>
      <c r="D308" s="75" t="s">
        <v>99</v>
      </c>
      <c r="E308" s="79"/>
      <c r="F308" s="93">
        <f>E308+SUM(G308:Q308)</f>
        <v>0</v>
      </c>
      <c r="G308" s="68"/>
      <c r="H308" s="68"/>
      <c r="I308" s="70"/>
      <c r="J308" s="68"/>
      <c r="K308" s="68"/>
      <c r="L308" s="68"/>
      <c r="M308" s="68"/>
      <c r="N308" s="168"/>
      <c r="O308" s="68"/>
      <c r="P308" s="68"/>
      <c r="Q308" s="68"/>
      <c r="R308" s="68"/>
      <c r="S308" s="68"/>
      <c r="T308" s="25"/>
    </row>
    <row r="309" spans="1:20" s="24" customFormat="1" ht="56.25" customHeight="1" hidden="1">
      <c r="A309" s="5"/>
      <c r="B309" s="66" t="s">
        <v>468</v>
      </c>
      <c r="C309" s="41"/>
      <c r="D309" s="83" t="s">
        <v>159</v>
      </c>
      <c r="E309" s="79">
        <f>E310</f>
        <v>0</v>
      </c>
      <c r="F309" s="79">
        <f aca="true" t="shared" si="145" ref="F309:S309">F310</f>
        <v>0</v>
      </c>
      <c r="G309" s="79">
        <f t="shared" si="145"/>
        <v>0</v>
      </c>
      <c r="H309" s="79">
        <f t="shared" si="145"/>
        <v>0</v>
      </c>
      <c r="I309" s="96">
        <f t="shared" si="145"/>
        <v>0</v>
      </c>
      <c r="J309" s="79">
        <f t="shared" si="145"/>
        <v>0</v>
      </c>
      <c r="K309" s="79">
        <f t="shared" si="145"/>
        <v>0</v>
      </c>
      <c r="L309" s="79">
        <f t="shared" si="145"/>
        <v>0</v>
      </c>
      <c r="M309" s="79">
        <f t="shared" si="145"/>
        <v>0</v>
      </c>
      <c r="N309" s="170">
        <f t="shared" si="145"/>
        <v>0</v>
      </c>
      <c r="O309" s="79">
        <f t="shared" si="145"/>
        <v>0</v>
      </c>
      <c r="P309" s="79">
        <f t="shared" si="145"/>
        <v>0</v>
      </c>
      <c r="Q309" s="79">
        <f t="shared" si="145"/>
        <v>0</v>
      </c>
      <c r="R309" s="79">
        <f t="shared" si="145"/>
        <v>0</v>
      </c>
      <c r="S309" s="79">
        <f t="shared" si="145"/>
        <v>0</v>
      </c>
      <c r="T309" s="25"/>
    </row>
    <row r="310" spans="1:20" s="24" customFormat="1" ht="38.25" hidden="1">
      <c r="A310" s="5"/>
      <c r="B310" s="66"/>
      <c r="C310" s="41" t="s">
        <v>10</v>
      </c>
      <c r="D310" s="75" t="s">
        <v>99</v>
      </c>
      <c r="E310" s="79"/>
      <c r="F310" s="93">
        <f>E310+SUM(G310:Q310)</f>
        <v>0</v>
      </c>
      <c r="G310" s="68"/>
      <c r="H310" s="68"/>
      <c r="I310" s="70"/>
      <c r="J310" s="68"/>
      <c r="K310" s="68"/>
      <c r="L310" s="68"/>
      <c r="M310" s="68"/>
      <c r="N310" s="168"/>
      <c r="O310" s="68"/>
      <c r="P310" s="68"/>
      <c r="Q310" s="68"/>
      <c r="R310" s="68"/>
      <c r="S310" s="68"/>
      <c r="T310" s="25"/>
    </row>
    <row r="311" spans="1:20" s="24" customFormat="1" ht="51" hidden="1">
      <c r="A311" s="5"/>
      <c r="B311" s="66" t="s">
        <v>468</v>
      </c>
      <c r="C311" s="41"/>
      <c r="D311" s="75" t="s">
        <v>478</v>
      </c>
      <c r="E311" s="79">
        <f>E312</f>
        <v>0</v>
      </c>
      <c r="F311" s="79">
        <f aca="true" t="shared" si="146" ref="F311:S311">F312</f>
        <v>0</v>
      </c>
      <c r="G311" s="79">
        <f t="shared" si="146"/>
        <v>0</v>
      </c>
      <c r="H311" s="79">
        <f t="shared" si="146"/>
        <v>0</v>
      </c>
      <c r="I311" s="96">
        <f t="shared" si="146"/>
        <v>0</v>
      </c>
      <c r="J311" s="79">
        <f t="shared" si="146"/>
        <v>0</v>
      </c>
      <c r="K311" s="79">
        <f t="shared" si="146"/>
        <v>0</v>
      </c>
      <c r="L311" s="79">
        <f t="shared" si="146"/>
        <v>0</v>
      </c>
      <c r="M311" s="79">
        <f t="shared" si="146"/>
        <v>0</v>
      </c>
      <c r="N311" s="170">
        <f t="shared" si="146"/>
        <v>0</v>
      </c>
      <c r="O311" s="79">
        <f t="shared" si="146"/>
        <v>0</v>
      </c>
      <c r="P311" s="79">
        <f t="shared" si="146"/>
        <v>0</v>
      </c>
      <c r="Q311" s="79">
        <f t="shared" si="146"/>
        <v>0</v>
      </c>
      <c r="R311" s="79">
        <f t="shared" si="146"/>
        <v>0</v>
      </c>
      <c r="S311" s="79">
        <f t="shared" si="146"/>
        <v>0</v>
      </c>
      <c r="T311" s="25"/>
    </row>
    <row r="312" spans="1:20" s="24" customFormat="1" ht="38.25" hidden="1">
      <c r="A312" s="5"/>
      <c r="B312" s="66"/>
      <c r="C312" s="41" t="s">
        <v>10</v>
      </c>
      <c r="D312" s="75" t="s">
        <v>99</v>
      </c>
      <c r="E312" s="79"/>
      <c r="F312" s="93">
        <f>E312+SUM(G312:Q312)</f>
        <v>0</v>
      </c>
      <c r="G312" s="68"/>
      <c r="H312" s="68"/>
      <c r="I312" s="70"/>
      <c r="J312" s="68"/>
      <c r="K312" s="68"/>
      <c r="L312" s="68"/>
      <c r="M312" s="68"/>
      <c r="N312" s="168"/>
      <c r="O312" s="68"/>
      <c r="P312" s="68"/>
      <c r="Q312" s="68"/>
      <c r="R312" s="68"/>
      <c r="S312" s="68"/>
      <c r="T312" s="25"/>
    </row>
    <row r="313" spans="1:20" s="24" customFormat="1" ht="51" hidden="1">
      <c r="A313" s="5"/>
      <c r="B313" s="66" t="s">
        <v>355</v>
      </c>
      <c r="C313" s="41"/>
      <c r="D313" s="83" t="s">
        <v>435</v>
      </c>
      <c r="E313" s="79">
        <f aca="true" t="shared" si="147" ref="E313:S313">E314</f>
        <v>1591.6</v>
      </c>
      <c r="F313" s="79">
        <f t="shared" si="147"/>
        <v>0</v>
      </c>
      <c r="G313" s="68">
        <f t="shared" si="147"/>
        <v>0</v>
      </c>
      <c r="H313" s="68">
        <f t="shared" si="147"/>
        <v>0</v>
      </c>
      <c r="I313" s="70">
        <f t="shared" si="147"/>
        <v>0</v>
      </c>
      <c r="J313" s="68">
        <f t="shared" si="147"/>
        <v>0</v>
      </c>
      <c r="K313" s="68">
        <f t="shared" si="147"/>
        <v>0</v>
      </c>
      <c r="L313" s="68">
        <f t="shared" si="147"/>
        <v>0</v>
      </c>
      <c r="M313" s="68">
        <f t="shared" si="147"/>
        <v>0</v>
      </c>
      <c r="N313" s="168">
        <f t="shared" si="147"/>
        <v>0</v>
      </c>
      <c r="O313" s="68">
        <f t="shared" si="147"/>
        <v>-1591.6</v>
      </c>
      <c r="P313" s="68">
        <f t="shared" si="147"/>
        <v>0</v>
      </c>
      <c r="Q313" s="68">
        <f t="shared" si="147"/>
        <v>0</v>
      </c>
      <c r="R313" s="68">
        <f t="shared" si="147"/>
        <v>0</v>
      </c>
      <c r="S313" s="68">
        <f t="shared" si="147"/>
        <v>0</v>
      </c>
      <c r="T313" s="25"/>
    </row>
    <row r="314" spans="1:20" s="24" customFormat="1" ht="39.75" customHeight="1" hidden="1">
      <c r="A314" s="5"/>
      <c r="B314" s="66"/>
      <c r="C314" s="41" t="s">
        <v>10</v>
      </c>
      <c r="D314" s="75" t="s">
        <v>99</v>
      </c>
      <c r="E314" s="79">
        <f>1591.6</f>
        <v>1591.6</v>
      </c>
      <c r="F314" s="93">
        <f>E314+SUM(G314:Q314)</f>
        <v>0</v>
      </c>
      <c r="G314" s="68"/>
      <c r="H314" s="68"/>
      <c r="I314" s="153"/>
      <c r="J314" s="69"/>
      <c r="K314" s="68"/>
      <c r="L314" s="68"/>
      <c r="M314" s="68"/>
      <c r="N314" s="168"/>
      <c r="O314" s="68">
        <f>-1591.6</f>
        <v>-1591.6</v>
      </c>
      <c r="P314" s="68"/>
      <c r="Q314" s="68"/>
      <c r="R314" s="68"/>
      <c r="S314" s="68"/>
      <c r="T314" s="25"/>
    </row>
    <row r="315" spans="1:20" s="24" customFormat="1" ht="53.25" customHeight="1" hidden="1">
      <c r="A315" s="5"/>
      <c r="B315" s="63" t="s">
        <v>372</v>
      </c>
      <c r="C315" s="11"/>
      <c r="D315" s="84" t="s">
        <v>137</v>
      </c>
      <c r="E315" s="95">
        <f aca="true" t="shared" si="148" ref="E315:S318">E316</f>
        <v>300</v>
      </c>
      <c r="F315" s="95">
        <f t="shared" si="148"/>
        <v>83.1</v>
      </c>
      <c r="G315" s="73">
        <f t="shared" si="148"/>
        <v>0</v>
      </c>
      <c r="H315" s="73">
        <f t="shared" si="148"/>
        <v>0</v>
      </c>
      <c r="I315" s="77">
        <f t="shared" si="148"/>
        <v>0</v>
      </c>
      <c r="J315" s="73">
        <f t="shared" si="148"/>
        <v>0</v>
      </c>
      <c r="K315" s="73">
        <f t="shared" si="148"/>
        <v>0</v>
      </c>
      <c r="L315" s="73">
        <f t="shared" si="148"/>
        <v>0</v>
      </c>
      <c r="M315" s="73">
        <f t="shared" si="148"/>
        <v>0</v>
      </c>
      <c r="N315" s="123">
        <f t="shared" si="148"/>
        <v>0</v>
      </c>
      <c r="O315" s="73">
        <f t="shared" si="148"/>
        <v>-216.9</v>
      </c>
      <c r="P315" s="73">
        <f t="shared" si="148"/>
        <v>0</v>
      </c>
      <c r="Q315" s="73">
        <f t="shared" si="148"/>
        <v>0</v>
      </c>
      <c r="R315" s="73">
        <f t="shared" si="148"/>
        <v>0</v>
      </c>
      <c r="S315" s="73">
        <f t="shared" si="148"/>
        <v>0</v>
      </c>
      <c r="T315" s="25"/>
    </row>
    <row r="316" spans="1:20" s="24" customFormat="1" ht="25.5" hidden="1">
      <c r="A316" s="5"/>
      <c r="B316" s="82" t="s">
        <v>383</v>
      </c>
      <c r="C316" s="99"/>
      <c r="D316" s="103" t="s">
        <v>156</v>
      </c>
      <c r="E316" s="93">
        <f t="shared" si="148"/>
        <v>300</v>
      </c>
      <c r="F316" s="93">
        <f t="shared" si="148"/>
        <v>83.1</v>
      </c>
      <c r="G316" s="64">
        <f t="shared" si="148"/>
        <v>0</v>
      </c>
      <c r="H316" s="64">
        <f t="shared" si="148"/>
        <v>0</v>
      </c>
      <c r="I316" s="78">
        <f t="shared" si="148"/>
        <v>0</v>
      </c>
      <c r="J316" s="64">
        <f t="shared" si="148"/>
        <v>0</v>
      </c>
      <c r="K316" s="64">
        <f t="shared" si="148"/>
        <v>0</v>
      </c>
      <c r="L316" s="64">
        <f t="shared" si="148"/>
        <v>0</v>
      </c>
      <c r="M316" s="64">
        <f t="shared" si="148"/>
        <v>0</v>
      </c>
      <c r="N316" s="172">
        <f t="shared" si="148"/>
        <v>0</v>
      </c>
      <c r="O316" s="64">
        <f t="shared" si="148"/>
        <v>-216.9</v>
      </c>
      <c r="P316" s="64">
        <f t="shared" si="148"/>
        <v>0</v>
      </c>
      <c r="Q316" s="64">
        <f t="shared" si="148"/>
        <v>0</v>
      </c>
      <c r="R316" s="64">
        <f t="shared" si="148"/>
        <v>0</v>
      </c>
      <c r="S316" s="64">
        <f t="shared" si="148"/>
        <v>0</v>
      </c>
      <c r="T316" s="25"/>
    </row>
    <row r="317" spans="1:20" s="24" customFormat="1" ht="25.5" hidden="1">
      <c r="A317" s="5"/>
      <c r="B317" s="66" t="s">
        <v>384</v>
      </c>
      <c r="C317" s="41"/>
      <c r="D317" s="67" t="s">
        <v>386</v>
      </c>
      <c r="E317" s="93">
        <f t="shared" si="148"/>
        <v>300</v>
      </c>
      <c r="F317" s="93">
        <f t="shared" si="148"/>
        <v>83.1</v>
      </c>
      <c r="G317" s="64">
        <f t="shared" si="148"/>
        <v>0</v>
      </c>
      <c r="H317" s="64">
        <f t="shared" si="148"/>
        <v>0</v>
      </c>
      <c r="I317" s="78">
        <f t="shared" si="148"/>
        <v>0</v>
      </c>
      <c r="J317" s="64">
        <f t="shared" si="148"/>
        <v>0</v>
      </c>
      <c r="K317" s="64">
        <f t="shared" si="148"/>
        <v>0</v>
      </c>
      <c r="L317" s="64">
        <f t="shared" si="148"/>
        <v>0</v>
      </c>
      <c r="M317" s="64">
        <f t="shared" si="148"/>
        <v>0</v>
      </c>
      <c r="N317" s="172">
        <f t="shared" si="148"/>
        <v>0</v>
      </c>
      <c r="O317" s="64">
        <f t="shared" si="148"/>
        <v>-216.9</v>
      </c>
      <c r="P317" s="64">
        <f t="shared" si="148"/>
        <v>0</v>
      </c>
      <c r="Q317" s="64">
        <f t="shared" si="148"/>
        <v>0</v>
      </c>
      <c r="R317" s="64">
        <f t="shared" si="148"/>
        <v>0</v>
      </c>
      <c r="S317" s="64">
        <f t="shared" si="148"/>
        <v>0</v>
      </c>
      <c r="T317" s="25"/>
    </row>
    <row r="318" spans="1:20" s="24" customFormat="1" ht="12.75" hidden="1">
      <c r="A318" s="5"/>
      <c r="B318" s="66" t="s">
        <v>385</v>
      </c>
      <c r="C318" s="41"/>
      <c r="D318" s="67" t="s">
        <v>387</v>
      </c>
      <c r="E318" s="93">
        <f t="shared" si="148"/>
        <v>300</v>
      </c>
      <c r="F318" s="93">
        <f t="shared" si="148"/>
        <v>83.1</v>
      </c>
      <c r="G318" s="64">
        <f t="shared" si="148"/>
        <v>0</v>
      </c>
      <c r="H318" s="64">
        <f t="shared" si="148"/>
        <v>0</v>
      </c>
      <c r="I318" s="78">
        <f t="shared" si="148"/>
        <v>0</v>
      </c>
      <c r="J318" s="64">
        <f t="shared" si="148"/>
        <v>0</v>
      </c>
      <c r="K318" s="64">
        <f t="shared" si="148"/>
        <v>0</v>
      </c>
      <c r="L318" s="64">
        <f t="shared" si="148"/>
        <v>0</v>
      </c>
      <c r="M318" s="64">
        <f t="shared" si="148"/>
        <v>0</v>
      </c>
      <c r="N318" s="172">
        <f t="shared" si="148"/>
        <v>0</v>
      </c>
      <c r="O318" s="64">
        <f t="shared" si="148"/>
        <v>-216.9</v>
      </c>
      <c r="P318" s="64">
        <f t="shared" si="148"/>
        <v>0</v>
      </c>
      <c r="Q318" s="64">
        <f t="shared" si="148"/>
        <v>0</v>
      </c>
      <c r="R318" s="64">
        <f t="shared" si="148"/>
        <v>0</v>
      </c>
      <c r="S318" s="64">
        <f t="shared" si="148"/>
        <v>0</v>
      </c>
      <c r="T318" s="25"/>
    </row>
    <row r="319" spans="1:20" s="24" customFormat="1" ht="25.5" hidden="1">
      <c r="A319" s="5"/>
      <c r="B319" s="66"/>
      <c r="C319" s="41" t="s">
        <v>3</v>
      </c>
      <c r="D319" s="67" t="s">
        <v>95</v>
      </c>
      <c r="E319" s="93">
        <f>300</f>
        <v>300</v>
      </c>
      <c r="F319" s="93">
        <f>E319+SUM(G319:Q319)</f>
        <v>83.1</v>
      </c>
      <c r="G319" s="64"/>
      <c r="H319" s="64"/>
      <c r="I319" s="154"/>
      <c r="J319" s="65"/>
      <c r="K319" s="64"/>
      <c r="L319" s="64"/>
      <c r="M319" s="64"/>
      <c r="N319" s="172"/>
      <c r="O319" s="64">
        <f>-216.9</f>
        <v>-216.9</v>
      </c>
      <c r="P319" s="64"/>
      <c r="Q319" s="64"/>
      <c r="R319" s="64"/>
      <c r="S319" s="64"/>
      <c r="T319" s="25"/>
    </row>
    <row r="320" spans="1:20" s="24" customFormat="1" ht="25.5" hidden="1">
      <c r="A320" s="5"/>
      <c r="B320" s="63" t="s">
        <v>425</v>
      </c>
      <c r="C320" s="11"/>
      <c r="D320" s="84" t="s">
        <v>143</v>
      </c>
      <c r="E320" s="93">
        <f>E321</f>
        <v>0</v>
      </c>
      <c r="F320" s="93">
        <f aca="true" t="shared" si="149" ref="F320:S321">F321</f>
        <v>598.90496</v>
      </c>
      <c r="G320" s="93">
        <f t="shared" si="149"/>
        <v>0</v>
      </c>
      <c r="H320" s="93">
        <f t="shared" si="149"/>
        <v>0</v>
      </c>
      <c r="I320" s="93">
        <f t="shared" si="149"/>
        <v>0</v>
      </c>
      <c r="J320" s="93">
        <f t="shared" si="149"/>
        <v>0</v>
      </c>
      <c r="K320" s="93">
        <f t="shared" si="149"/>
        <v>0</v>
      </c>
      <c r="L320" s="93">
        <f t="shared" si="149"/>
        <v>598.90496</v>
      </c>
      <c r="M320" s="93">
        <f t="shared" si="149"/>
        <v>0</v>
      </c>
      <c r="N320" s="175">
        <f t="shared" si="149"/>
        <v>0</v>
      </c>
      <c r="O320" s="93">
        <f t="shared" si="149"/>
        <v>0</v>
      </c>
      <c r="P320" s="93">
        <f t="shared" si="149"/>
        <v>0</v>
      </c>
      <c r="Q320" s="93">
        <f t="shared" si="149"/>
        <v>0</v>
      </c>
      <c r="R320" s="93">
        <f t="shared" si="149"/>
        <v>0</v>
      </c>
      <c r="S320" s="93">
        <f t="shared" si="149"/>
        <v>0</v>
      </c>
      <c r="T320" s="25"/>
    </row>
    <row r="321" spans="1:20" s="24" customFormat="1" ht="38.25" hidden="1">
      <c r="A321" s="5"/>
      <c r="B321" s="66" t="s">
        <v>426</v>
      </c>
      <c r="C321" s="41"/>
      <c r="D321" s="57" t="s">
        <v>479</v>
      </c>
      <c r="E321" s="93">
        <f>E322</f>
        <v>0</v>
      </c>
      <c r="F321" s="93">
        <f t="shared" si="149"/>
        <v>598.90496</v>
      </c>
      <c r="G321" s="93">
        <f t="shared" si="149"/>
        <v>0</v>
      </c>
      <c r="H321" s="93">
        <f t="shared" si="149"/>
        <v>0</v>
      </c>
      <c r="I321" s="93">
        <f t="shared" si="149"/>
        <v>0</v>
      </c>
      <c r="J321" s="93">
        <f t="shared" si="149"/>
        <v>0</v>
      </c>
      <c r="K321" s="93">
        <f t="shared" si="149"/>
        <v>0</v>
      </c>
      <c r="L321" s="93">
        <f t="shared" si="149"/>
        <v>598.90496</v>
      </c>
      <c r="M321" s="93">
        <f t="shared" si="149"/>
        <v>0</v>
      </c>
      <c r="N321" s="175">
        <f t="shared" si="149"/>
        <v>0</v>
      </c>
      <c r="O321" s="93">
        <f t="shared" si="149"/>
        <v>0</v>
      </c>
      <c r="P321" s="93">
        <f t="shared" si="149"/>
        <v>0</v>
      </c>
      <c r="Q321" s="93">
        <f t="shared" si="149"/>
        <v>0</v>
      </c>
      <c r="R321" s="93">
        <f t="shared" si="149"/>
        <v>0</v>
      </c>
      <c r="S321" s="93">
        <f t="shared" si="149"/>
        <v>0</v>
      </c>
      <c r="T321" s="25"/>
    </row>
    <row r="322" spans="1:20" s="24" customFormat="1" ht="25.5" hidden="1">
      <c r="A322" s="5"/>
      <c r="B322" s="66"/>
      <c r="C322" s="41" t="s">
        <v>3</v>
      </c>
      <c r="D322" s="67" t="s">
        <v>95</v>
      </c>
      <c r="E322" s="93"/>
      <c r="F322" s="93">
        <f>E322+SUM(G322:Q322)</f>
        <v>598.90496</v>
      </c>
      <c r="G322" s="64"/>
      <c r="H322" s="64"/>
      <c r="I322" s="154"/>
      <c r="J322" s="65"/>
      <c r="K322" s="64"/>
      <c r="L322" s="64">
        <f>598.90496</f>
        <v>598.90496</v>
      </c>
      <c r="M322" s="64"/>
      <c r="N322" s="172"/>
      <c r="O322" s="64"/>
      <c r="P322" s="64"/>
      <c r="Q322" s="64"/>
      <c r="R322" s="64"/>
      <c r="S322" s="64"/>
      <c r="T322" s="25"/>
    </row>
    <row r="323" spans="1:19" s="25" customFormat="1" ht="12.75" hidden="1">
      <c r="A323" s="17"/>
      <c r="B323" s="63" t="s">
        <v>430</v>
      </c>
      <c r="C323" s="11"/>
      <c r="D323" s="60" t="s">
        <v>144</v>
      </c>
      <c r="E323" s="95">
        <f aca="true" t="shared" si="150" ref="E323:S324">E324</f>
        <v>0</v>
      </c>
      <c r="F323" s="95">
        <f t="shared" si="150"/>
        <v>1134.21</v>
      </c>
      <c r="G323" s="73">
        <f t="shared" si="150"/>
        <v>0</v>
      </c>
      <c r="H323" s="73">
        <f t="shared" si="150"/>
        <v>531.24</v>
      </c>
      <c r="I323" s="77">
        <f t="shared" si="150"/>
        <v>0</v>
      </c>
      <c r="J323" s="73">
        <f t="shared" si="150"/>
        <v>0</v>
      </c>
      <c r="K323" s="73">
        <f t="shared" si="150"/>
        <v>0</v>
      </c>
      <c r="L323" s="73">
        <f t="shared" si="150"/>
        <v>0</v>
      </c>
      <c r="M323" s="73">
        <f t="shared" si="150"/>
        <v>0</v>
      </c>
      <c r="N323" s="123">
        <f t="shared" si="150"/>
        <v>602.97</v>
      </c>
      <c r="O323" s="73">
        <f t="shared" si="150"/>
        <v>0</v>
      </c>
      <c r="P323" s="73">
        <f t="shared" si="150"/>
        <v>0</v>
      </c>
      <c r="Q323" s="73">
        <f t="shared" si="150"/>
        <v>0</v>
      </c>
      <c r="R323" s="73">
        <f t="shared" si="150"/>
        <v>0</v>
      </c>
      <c r="S323" s="73">
        <f t="shared" si="150"/>
        <v>0</v>
      </c>
    </row>
    <row r="324" spans="1:19" s="25" customFormat="1" ht="38.25" hidden="1">
      <c r="A324" s="17"/>
      <c r="B324" s="66" t="s">
        <v>431</v>
      </c>
      <c r="C324" s="41"/>
      <c r="D324" s="57" t="s">
        <v>145</v>
      </c>
      <c r="E324" s="79">
        <f t="shared" si="150"/>
        <v>0</v>
      </c>
      <c r="F324" s="79">
        <f t="shared" si="150"/>
        <v>1134.21</v>
      </c>
      <c r="G324" s="68">
        <f t="shared" si="150"/>
        <v>0</v>
      </c>
      <c r="H324" s="68">
        <f t="shared" si="150"/>
        <v>531.24</v>
      </c>
      <c r="I324" s="70">
        <f t="shared" si="150"/>
        <v>0</v>
      </c>
      <c r="J324" s="68">
        <f t="shared" si="150"/>
        <v>0</v>
      </c>
      <c r="K324" s="68">
        <f t="shared" si="150"/>
        <v>0</v>
      </c>
      <c r="L324" s="68">
        <f t="shared" si="150"/>
        <v>0</v>
      </c>
      <c r="M324" s="68">
        <f t="shared" si="150"/>
        <v>0</v>
      </c>
      <c r="N324" s="168">
        <f t="shared" si="150"/>
        <v>602.97</v>
      </c>
      <c r="O324" s="68">
        <f t="shared" si="150"/>
        <v>0</v>
      </c>
      <c r="P324" s="68">
        <f t="shared" si="150"/>
        <v>0</v>
      </c>
      <c r="Q324" s="68">
        <f t="shared" si="150"/>
        <v>0</v>
      </c>
      <c r="R324" s="68">
        <f t="shared" si="150"/>
        <v>0</v>
      </c>
      <c r="S324" s="68">
        <f t="shared" si="150"/>
        <v>0</v>
      </c>
    </row>
    <row r="325" spans="1:19" s="25" customFormat="1" ht="12.75" hidden="1">
      <c r="A325" s="17"/>
      <c r="B325" s="66"/>
      <c r="C325" s="41" t="s">
        <v>4</v>
      </c>
      <c r="D325" s="67" t="s">
        <v>5</v>
      </c>
      <c r="E325" s="79"/>
      <c r="F325" s="93">
        <f>E325+SUM(G325:Q325)</f>
        <v>1134.21</v>
      </c>
      <c r="G325" s="68"/>
      <c r="H325" s="68">
        <v>531.24</v>
      </c>
      <c r="I325" s="153"/>
      <c r="J325" s="69"/>
      <c r="K325" s="68"/>
      <c r="L325" s="68"/>
      <c r="M325" s="68"/>
      <c r="N325" s="168">
        <v>602.97</v>
      </c>
      <c r="O325" s="68"/>
      <c r="P325" s="68"/>
      <c r="Q325" s="68"/>
      <c r="R325" s="68"/>
      <c r="S325" s="68"/>
    </row>
    <row r="326" spans="1:20" s="24" customFormat="1" ht="12">
      <c r="A326" s="5" t="s">
        <v>76</v>
      </c>
      <c r="B326" s="18"/>
      <c r="C326" s="18"/>
      <c r="D326" s="13" t="s">
        <v>77</v>
      </c>
      <c r="E326" s="119">
        <f>E327+E339+E332+E358+E369</f>
        <v>24779.5</v>
      </c>
      <c r="F326" s="119">
        <f aca="true" t="shared" si="151" ref="F326:Q326">F327+F339+F332+F358+F369</f>
        <v>35112.02665</v>
      </c>
      <c r="G326" s="119">
        <f t="shared" si="151"/>
        <v>0</v>
      </c>
      <c r="H326" s="119">
        <f t="shared" si="151"/>
        <v>-927.528</v>
      </c>
      <c r="I326" s="119">
        <f t="shared" si="151"/>
        <v>-1964.2907400000001</v>
      </c>
      <c r="J326" s="119">
        <f t="shared" si="151"/>
        <v>-833.33333</v>
      </c>
      <c r="K326" s="119">
        <f t="shared" si="151"/>
        <v>13476.8</v>
      </c>
      <c r="L326" s="119">
        <f t="shared" si="151"/>
        <v>53.513200000000005</v>
      </c>
      <c r="M326" s="119">
        <f t="shared" si="151"/>
        <v>0</v>
      </c>
      <c r="N326" s="171">
        <f t="shared" si="151"/>
        <v>487.36551999999995</v>
      </c>
      <c r="O326" s="119">
        <f t="shared" si="151"/>
        <v>40</v>
      </c>
      <c r="P326" s="119">
        <f t="shared" si="151"/>
        <v>0</v>
      </c>
      <c r="Q326" s="119">
        <f t="shared" si="151"/>
        <v>0</v>
      </c>
      <c r="R326" s="119">
        <f>R327+R339+R332+R358+R369</f>
        <v>0</v>
      </c>
      <c r="S326" s="119">
        <f>S327+S339+S332+S358+S369</f>
        <v>0</v>
      </c>
      <c r="T326" s="25"/>
    </row>
    <row r="327" spans="1:19" s="25" customFormat="1" ht="38.25" hidden="1">
      <c r="A327" s="17"/>
      <c r="B327" s="63" t="s">
        <v>200</v>
      </c>
      <c r="C327" s="11"/>
      <c r="D327" s="60" t="s">
        <v>114</v>
      </c>
      <c r="E327" s="95">
        <f aca="true" t="shared" si="152" ref="E327:S330">E328</f>
        <v>303</v>
      </c>
      <c r="F327" s="95">
        <f t="shared" si="152"/>
        <v>343</v>
      </c>
      <c r="G327" s="73">
        <f t="shared" si="152"/>
        <v>0</v>
      </c>
      <c r="H327" s="73">
        <f t="shared" si="152"/>
        <v>0</v>
      </c>
      <c r="I327" s="77">
        <f t="shared" si="152"/>
        <v>0</v>
      </c>
      <c r="J327" s="73">
        <f t="shared" si="152"/>
        <v>0</v>
      </c>
      <c r="K327" s="73">
        <f t="shared" si="152"/>
        <v>0</v>
      </c>
      <c r="L327" s="73">
        <f t="shared" si="152"/>
        <v>0</v>
      </c>
      <c r="M327" s="73">
        <f t="shared" si="152"/>
        <v>0</v>
      </c>
      <c r="N327" s="123">
        <f t="shared" si="152"/>
        <v>0</v>
      </c>
      <c r="O327" s="73">
        <f t="shared" si="152"/>
        <v>40</v>
      </c>
      <c r="P327" s="73">
        <f t="shared" si="152"/>
        <v>0</v>
      </c>
      <c r="Q327" s="73">
        <f t="shared" si="152"/>
        <v>0</v>
      </c>
      <c r="R327" s="73">
        <f t="shared" si="152"/>
        <v>0</v>
      </c>
      <c r="S327" s="73">
        <f t="shared" si="152"/>
        <v>0</v>
      </c>
    </row>
    <row r="328" spans="1:19" s="25" customFormat="1" ht="25.5" hidden="1">
      <c r="A328" s="17"/>
      <c r="B328" s="82" t="s">
        <v>214</v>
      </c>
      <c r="C328" s="41"/>
      <c r="D328" s="61" t="s">
        <v>115</v>
      </c>
      <c r="E328" s="79">
        <f t="shared" si="152"/>
        <v>303</v>
      </c>
      <c r="F328" s="79">
        <f t="shared" si="152"/>
        <v>343</v>
      </c>
      <c r="G328" s="68">
        <f t="shared" si="152"/>
        <v>0</v>
      </c>
      <c r="H328" s="68">
        <f t="shared" si="152"/>
        <v>0</v>
      </c>
      <c r="I328" s="70">
        <f t="shared" si="152"/>
        <v>0</v>
      </c>
      <c r="J328" s="68">
        <f t="shared" si="152"/>
        <v>0</v>
      </c>
      <c r="K328" s="68">
        <f t="shared" si="152"/>
        <v>0</v>
      </c>
      <c r="L328" s="68">
        <f t="shared" si="152"/>
        <v>0</v>
      </c>
      <c r="M328" s="68">
        <f t="shared" si="152"/>
        <v>0</v>
      </c>
      <c r="N328" s="168">
        <f t="shared" si="152"/>
        <v>0</v>
      </c>
      <c r="O328" s="68">
        <f t="shared" si="152"/>
        <v>40</v>
      </c>
      <c r="P328" s="68">
        <f t="shared" si="152"/>
        <v>0</v>
      </c>
      <c r="Q328" s="68">
        <f t="shared" si="152"/>
        <v>0</v>
      </c>
      <c r="R328" s="68">
        <f t="shared" si="152"/>
        <v>0</v>
      </c>
      <c r="S328" s="68">
        <f t="shared" si="152"/>
        <v>0</v>
      </c>
    </row>
    <row r="329" spans="1:19" s="25" customFormat="1" ht="38.25" hidden="1">
      <c r="A329" s="17"/>
      <c r="B329" s="41" t="s">
        <v>215</v>
      </c>
      <c r="C329" s="41"/>
      <c r="D329" s="57" t="s">
        <v>217</v>
      </c>
      <c r="E329" s="79">
        <f t="shared" si="152"/>
        <v>303</v>
      </c>
      <c r="F329" s="79">
        <f t="shared" si="152"/>
        <v>343</v>
      </c>
      <c r="G329" s="68">
        <f t="shared" si="152"/>
        <v>0</v>
      </c>
      <c r="H329" s="68">
        <f t="shared" si="152"/>
        <v>0</v>
      </c>
      <c r="I329" s="70">
        <f t="shared" si="152"/>
        <v>0</v>
      </c>
      <c r="J329" s="68">
        <f t="shared" si="152"/>
        <v>0</v>
      </c>
      <c r="K329" s="68">
        <f t="shared" si="152"/>
        <v>0</v>
      </c>
      <c r="L329" s="68">
        <f t="shared" si="152"/>
        <v>0</v>
      </c>
      <c r="M329" s="68">
        <f t="shared" si="152"/>
        <v>0</v>
      </c>
      <c r="N329" s="168">
        <f t="shared" si="152"/>
        <v>0</v>
      </c>
      <c r="O329" s="68">
        <f t="shared" si="152"/>
        <v>40</v>
      </c>
      <c r="P329" s="68">
        <f t="shared" si="152"/>
        <v>0</v>
      </c>
      <c r="Q329" s="68">
        <f t="shared" si="152"/>
        <v>0</v>
      </c>
      <c r="R329" s="68">
        <f t="shared" si="152"/>
        <v>0</v>
      </c>
      <c r="S329" s="68">
        <f t="shared" si="152"/>
        <v>0</v>
      </c>
    </row>
    <row r="330" spans="1:19" s="25" customFormat="1" ht="12.75" hidden="1">
      <c r="A330" s="17"/>
      <c r="B330" s="41" t="s">
        <v>216</v>
      </c>
      <c r="C330" s="41"/>
      <c r="D330" s="57" t="s">
        <v>218</v>
      </c>
      <c r="E330" s="79">
        <f t="shared" si="152"/>
        <v>303</v>
      </c>
      <c r="F330" s="79">
        <f t="shared" si="152"/>
        <v>343</v>
      </c>
      <c r="G330" s="68">
        <f t="shared" si="152"/>
        <v>0</v>
      </c>
      <c r="H330" s="68">
        <f t="shared" si="152"/>
        <v>0</v>
      </c>
      <c r="I330" s="70">
        <f t="shared" si="152"/>
        <v>0</v>
      </c>
      <c r="J330" s="68">
        <f t="shared" si="152"/>
        <v>0</v>
      </c>
      <c r="K330" s="68">
        <f t="shared" si="152"/>
        <v>0</v>
      </c>
      <c r="L330" s="68">
        <f t="shared" si="152"/>
        <v>0</v>
      </c>
      <c r="M330" s="68">
        <f t="shared" si="152"/>
        <v>0</v>
      </c>
      <c r="N330" s="168">
        <f t="shared" si="152"/>
        <v>0</v>
      </c>
      <c r="O330" s="68">
        <f t="shared" si="152"/>
        <v>40</v>
      </c>
      <c r="P330" s="68">
        <f t="shared" si="152"/>
        <v>0</v>
      </c>
      <c r="Q330" s="68">
        <f t="shared" si="152"/>
        <v>0</v>
      </c>
      <c r="R330" s="68">
        <f t="shared" si="152"/>
        <v>0</v>
      </c>
      <c r="S330" s="68">
        <f t="shared" si="152"/>
        <v>0</v>
      </c>
    </row>
    <row r="331" spans="1:19" s="25" customFormat="1" ht="25.5" hidden="1">
      <c r="A331" s="17"/>
      <c r="B331" s="66"/>
      <c r="C331" s="41" t="s">
        <v>3</v>
      </c>
      <c r="D331" s="67" t="s">
        <v>95</v>
      </c>
      <c r="E331" s="79">
        <f>303</f>
        <v>303</v>
      </c>
      <c r="F331" s="79">
        <f>E331+SUM(G331:Q331)</f>
        <v>343</v>
      </c>
      <c r="G331" s="68"/>
      <c r="H331" s="68"/>
      <c r="I331" s="153"/>
      <c r="J331" s="69"/>
      <c r="K331" s="68"/>
      <c r="L331" s="68"/>
      <c r="M331" s="68"/>
      <c r="N331" s="168"/>
      <c r="O331" s="68">
        <f>40</f>
        <v>40</v>
      </c>
      <c r="P331" s="68"/>
      <c r="Q331" s="68"/>
      <c r="R331" s="68"/>
      <c r="S331" s="68"/>
    </row>
    <row r="332" spans="1:19" s="25" customFormat="1" ht="51">
      <c r="A332" s="17"/>
      <c r="B332" s="63" t="s">
        <v>265</v>
      </c>
      <c r="C332" s="11"/>
      <c r="D332" s="60" t="s">
        <v>121</v>
      </c>
      <c r="E332" s="95">
        <f>E333</f>
        <v>0</v>
      </c>
      <c r="F332" s="95">
        <f aca="true" t="shared" si="153" ref="F332:S332">F333</f>
        <v>250</v>
      </c>
      <c r="G332" s="95">
        <f t="shared" si="153"/>
        <v>0</v>
      </c>
      <c r="H332" s="95">
        <f t="shared" si="153"/>
        <v>0</v>
      </c>
      <c r="I332" s="95">
        <f t="shared" si="153"/>
        <v>0</v>
      </c>
      <c r="J332" s="95">
        <f t="shared" si="153"/>
        <v>0</v>
      </c>
      <c r="K332" s="95">
        <f t="shared" si="153"/>
        <v>62.5</v>
      </c>
      <c r="L332" s="95">
        <f t="shared" si="153"/>
        <v>0</v>
      </c>
      <c r="M332" s="95">
        <f t="shared" si="153"/>
        <v>0</v>
      </c>
      <c r="N332" s="95">
        <f t="shared" si="153"/>
        <v>187.5</v>
      </c>
      <c r="O332" s="95">
        <f t="shared" si="153"/>
        <v>0</v>
      </c>
      <c r="P332" s="95">
        <f t="shared" si="153"/>
        <v>0</v>
      </c>
      <c r="Q332" s="95">
        <f t="shared" si="153"/>
        <v>0</v>
      </c>
      <c r="R332" s="95">
        <f t="shared" si="153"/>
        <v>0</v>
      </c>
      <c r="S332" s="95">
        <f t="shared" si="153"/>
        <v>0</v>
      </c>
    </row>
    <row r="333" spans="1:19" s="25" customFormat="1" ht="25.5">
      <c r="A333" s="17"/>
      <c r="B333" s="82" t="s">
        <v>266</v>
      </c>
      <c r="C333" s="99"/>
      <c r="D333" s="61" t="s">
        <v>268</v>
      </c>
      <c r="E333" s="79">
        <f>E336+E334</f>
        <v>0</v>
      </c>
      <c r="F333" s="79">
        <f aca="true" t="shared" si="154" ref="F333:S333">F336+F334</f>
        <v>250</v>
      </c>
      <c r="G333" s="79">
        <f t="shared" si="154"/>
        <v>0</v>
      </c>
      <c r="H333" s="79">
        <f t="shared" si="154"/>
        <v>0</v>
      </c>
      <c r="I333" s="79">
        <f t="shared" si="154"/>
        <v>0</v>
      </c>
      <c r="J333" s="79">
        <f t="shared" si="154"/>
        <v>0</v>
      </c>
      <c r="K333" s="79">
        <f t="shared" si="154"/>
        <v>62.5</v>
      </c>
      <c r="L333" s="79">
        <f t="shared" si="154"/>
        <v>0</v>
      </c>
      <c r="M333" s="79">
        <f t="shared" si="154"/>
        <v>0</v>
      </c>
      <c r="N333" s="79">
        <f t="shared" si="154"/>
        <v>187.5</v>
      </c>
      <c r="O333" s="79">
        <f t="shared" si="154"/>
        <v>0</v>
      </c>
      <c r="P333" s="79">
        <f t="shared" si="154"/>
        <v>0</v>
      </c>
      <c r="Q333" s="79">
        <f t="shared" si="154"/>
        <v>0</v>
      </c>
      <c r="R333" s="79">
        <f t="shared" si="154"/>
        <v>0</v>
      </c>
      <c r="S333" s="79">
        <f t="shared" si="154"/>
        <v>0</v>
      </c>
    </row>
    <row r="334" spans="1:19" s="25" customFormat="1" ht="38.25">
      <c r="A334" s="17"/>
      <c r="B334" s="66" t="s">
        <v>467</v>
      </c>
      <c r="C334" s="41"/>
      <c r="D334" s="67" t="s">
        <v>460</v>
      </c>
      <c r="E334" s="79">
        <f>E335</f>
        <v>0</v>
      </c>
      <c r="F334" s="79">
        <f aca="true" t="shared" si="155" ref="F334:S334">F335</f>
        <v>0</v>
      </c>
      <c r="G334" s="79">
        <f t="shared" si="155"/>
        <v>0</v>
      </c>
      <c r="H334" s="79">
        <f t="shared" si="155"/>
        <v>0</v>
      </c>
      <c r="I334" s="79">
        <f t="shared" si="155"/>
        <v>0</v>
      </c>
      <c r="J334" s="79">
        <f t="shared" si="155"/>
        <v>0</v>
      </c>
      <c r="K334" s="79">
        <f t="shared" si="155"/>
        <v>0</v>
      </c>
      <c r="L334" s="79">
        <f t="shared" si="155"/>
        <v>0</v>
      </c>
      <c r="M334" s="79">
        <f t="shared" si="155"/>
        <v>0</v>
      </c>
      <c r="N334" s="79">
        <f t="shared" si="155"/>
        <v>187.5</v>
      </c>
      <c r="O334" s="79">
        <f t="shared" si="155"/>
        <v>0</v>
      </c>
      <c r="P334" s="79">
        <f t="shared" si="155"/>
        <v>0</v>
      </c>
      <c r="Q334" s="79">
        <f t="shared" si="155"/>
        <v>0</v>
      </c>
      <c r="R334" s="79">
        <f t="shared" si="155"/>
        <v>-187.5</v>
      </c>
      <c r="S334" s="79">
        <f t="shared" si="155"/>
        <v>0</v>
      </c>
    </row>
    <row r="335" spans="1:19" s="25" customFormat="1" ht="25.5">
      <c r="A335" s="17"/>
      <c r="B335" s="66"/>
      <c r="C335" s="41" t="s">
        <v>3</v>
      </c>
      <c r="D335" s="67" t="s">
        <v>95</v>
      </c>
      <c r="E335" s="79"/>
      <c r="F335" s="79">
        <f>E335+SUM(G335:S335)</f>
        <v>0</v>
      </c>
      <c r="G335" s="79"/>
      <c r="H335" s="79"/>
      <c r="I335" s="96"/>
      <c r="J335" s="79"/>
      <c r="K335" s="68"/>
      <c r="L335" s="68"/>
      <c r="M335" s="68"/>
      <c r="N335" s="168">
        <v>187.5</v>
      </c>
      <c r="O335" s="68"/>
      <c r="P335" s="68"/>
      <c r="Q335" s="68"/>
      <c r="R335" s="68">
        <v>-187.5</v>
      </c>
      <c r="S335" s="68"/>
    </row>
    <row r="336" spans="1:19" s="25" customFormat="1" ht="38.25">
      <c r="A336" s="17"/>
      <c r="B336" s="66" t="s">
        <v>459</v>
      </c>
      <c r="C336" s="41"/>
      <c r="D336" s="57" t="s">
        <v>460</v>
      </c>
      <c r="E336" s="79">
        <f>E337+E338</f>
        <v>0</v>
      </c>
      <c r="F336" s="79">
        <f aca="true" t="shared" si="156" ref="F336:R336">F337+F338</f>
        <v>250</v>
      </c>
      <c r="G336" s="79">
        <f t="shared" si="156"/>
        <v>0</v>
      </c>
      <c r="H336" s="79">
        <f t="shared" si="156"/>
        <v>0</v>
      </c>
      <c r="I336" s="79">
        <f t="shared" si="156"/>
        <v>0</v>
      </c>
      <c r="J336" s="79">
        <f t="shared" si="156"/>
        <v>0</v>
      </c>
      <c r="K336" s="79">
        <f t="shared" si="156"/>
        <v>62.5</v>
      </c>
      <c r="L336" s="79">
        <f t="shared" si="156"/>
        <v>0</v>
      </c>
      <c r="M336" s="79">
        <f t="shared" si="156"/>
        <v>0</v>
      </c>
      <c r="N336" s="79">
        <f t="shared" si="156"/>
        <v>0</v>
      </c>
      <c r="O336" s="79">
        <f t="shared" si="156"/>
        <v>0</v>
      </c>
      <c r="P336" s="79">
        <f t="shared" si="156"/>
        <v>0</v>
      </c>
      <c r="Q336" s="79">
        <f t="shared" si="156"/>
        <v>0</v>
      </c>
      <c r="R336" s="79">
        <f t="shared" si="156"/>
        <v>187.5</v>
      </c>
      <c r="S336" s="68"/>
    </row>
    <row r="337" spans="1:19" s="25" customFormat="1" ht="25.5">
      <c r="A337" s="17"/>
      <c r="B337" s="66"/>
      <c r="C337" s="41" t="s">
        <v>3</v>
      </c>
      <c r="D337" s="67" t="s">
        <v>95</v>
      </c>
      <c r="E337" s="79"/>
      <c r="F337" s="79">
        <f>E337+SUM(G337:S337)</f>
        <v>250</v>
      </c>
      <c r="G337" s="68"/>
      <c r="H337" s="68"/>
      <c r="I337" s="153"/>
      <c r="J337" s="69"/>
      <c r="K337" s="68">
        <v>62.5</v>
      </c>
      <c r="L337" s="68"/>
      <c r="M337" s="68"/>
      <c r="N337" s="168"/>
      <c r="O337" s="68"/>
      <c r="P337" s="68"/>
      <c r="Q337" s="68"/>
      <c r="R337" s="68">
        <v>187.5</v>
      </c>
      <c r="S337" s="68"/>
    </row>
    <row r="338" spans="1:19" s="25" customFormat="1" ht="25.5" hidden="1">
      <c r="A338" s="17"/>
      <c r="B338" s="66"/>
      <c r="C338" s="41" t="s">
        <v>11</v>
      </c>
      <c r="D338" s="67" t="s">
        <v>12</v>
      </c>
      <c r="E338" s="79"/>
      <c r="F338" s="79">
        <f>E338+SUM(G338:S338)</f>
        <v>0</v>
      </c>
      <c r="G338" s="68"/>
      <c r="H338" s="68"/>
      <c r="I338" s="153"/>
      <c r="J338" s="69"/>
      <c r="K338" s="68"/>
      <c r="L338" s="68"/>
      <c r="M338" s="68"/>
      <c r="N338" s="168"/>
      <c r="O338" s="68"/>
      <c r="P338" s="68"/>
      <c r="Q338" s="68"/>
      <c r="R338" s="68"/>
      <c r="S338" s="68"/>
    </row>
    <row r="339" spans="1:19" s="25" customFormat="1" ht="38.25" hidden="1">
      <c r="A339" s="17"/>
      <c r="B339" s="63" t="s">
        <v>372</v>
      </c>
      <c r="C339" s="11"/>
      <c r="D339" s="84" t="s">
        <v>137</v>
      </c>
      <c r="E339" s="95">
        <f aca="true" t="shared" si="157" ref="E339:S339">E340</f>
        <v>24476.5</v>
      </c>
      <c r="F339" s="95">
        <f t="shared" si="157"/>
        <v>20551.31345</v>
      </c>
      <c r="G339" s="95">
        <f t="shared" si="157"/>
        <v>0</v>
      </c>
      <c r="H339" s="95">
        <f t="shared" si="157"/>
        <v>-927.528</v>
      </c>
      <c r="I339" s="131">
        <f t="shared" si="157"/>
        <v>-1964.2907400000001</v>
      </c>
      <c r="J339" s="95">
        <f t="shared" si="157"/>
        <v>-833.33333</v>
      </c>
      <c r="K339" s="95">
        <f t="shared" si="157"/>
        <v>0</v>
      </c>
      <c r="L339" s="95">
        <f t="shared" si="157"/>
        <v>0</v>
      </c>
      <c r="M339" s="95">
        <f t="shared" si="157"/>
        <v>0</v>
      </c>
      <c r="N339" s="169">
        <f t="shared" si="157"/>
        <v>-200.03448</v>
      </c>
      <c r="O339" s="95">
        <f t="shared" si="157"/>
        <v>0</v>
      </c>
      <c r="P339" s="95">
        <f t="shared" si="157"/>
        <v>0</v>
      </c>
      <c r="Q339" s="95">
        <f t="shared" si="157"/>
        <v>0</v>
      </c>
      <c r="R339" s="95">
        <f t="shared" si="157"/>
        <v>0</v>
      </c>
      <c r="S339" s="95">
        <f t="shared" si="157"/>
        <v>0</v>
      </c>
    </row>
    <row r="340" spans="1:19" s="25" customFormat="1" ht="25.5" hidden="1">
      <c r="A340" s="17"/>
      <c r="B340" s="82" t="s">
        <v>393</v>
      </c>
      <c r="C340" s="41"/>
      <c r="D340" s="85" t="s">
        <v>140</v>
      </c>
      <c r="E340" s="93">
        <f>E341+E344+E347+E350+E355</f>
        <v>24476.5</v>
      </c>
      <c r="F340" s="93">
        <f aca="true" t="shared" si="158" ref="F340:Q340">F341+F344+F347+F350+F355</f>
        <v>20551.31345</v>
      </c>
      <c r="G340" s="93">
        <f t="shared" si="158"/>
        <v>0</v>
      </c>
      <c r="H340" s="93">
        <f t="shared" si="158"/>
        <v>-927.528</v>
      </c>
      <c r="I340" s="133">
        <f t="shared" si="158"/>
        <v>-1964.2907400000001</v>
      </c>
      <c r="J340" s="93">
        <f t="shared" si="158"/>
        <v>-833.33333</v>
      </c>
      <c r="K340" s="93">
        <f t="shared" si="158"/>
        <v>0</v>
      </c>
      <c r="L340" s="93">
        <f t="shared" si="158"/>
        <v>0</v>
      </c>
      <c r="M340" s="93">
        <f t="shared" si="158"/>
        <v>0</v>
      </c>
      <c r="N340" s="175">
        <f t="shared" si="158"/>
        <v>-200.03448</v>
      </c>
      <c r="O340" s="93">
        <f t="shared" si="158"/>
        <v>0</v>
      </c>
      <c r="P340" s="93">
        <f t="shared" si="158"/>
        <v>0</v>
      </c>
      <c r="Q340" s="93">
        <f t="shared" si="158"/>
        <v>0</v>
      </c>
      <c r="R340" s="93">
        <f>R341+R344+R347+R350+R355</f>
        <v>0</v>
      </c>
      <c r="S340" s="93">
        <f>S341+S344+S347+S350+S355</f>
        <v>0</v>
      </c>
    </row>
    <row r="341" spans="1:19" s="25" customFormat="1" ht="12.75" hidden="1">
      <c r="A341" s="17"/>
      <c r="B341" s="41" t="s">
        <v>394</v>
      </c>
      <c r="C341" s="41"/>
      <c r="D341" s="83" t="s">
        <v>396</v>
      </c>
      <c r="E341" s="93">
        <f>E342</f>
        <v>9780</v>
      </c>
      <c r="F341" s="93">
        <f aca="true" t="shared" si="159" ref="F341:S342">F342</f>
        <v>9780</v>
      </c>
      <c r="G341" s="64">
        <f t="shared" si="159"/>
        <v>0</v>
      </c>
      <c r="H341" s="64">
        <f t="shared" si="159"/>
        <v>0</v>
      </c>
      <c r="I341" s="78">
        <f t="shared" si="159"/>
        <v>0</v>
      </c>
      <c r="J341" s="64">
        <f t="shared" si="159"/>
        <v>0</v>
      </c>
      <c r="K341" s="64">
        <f t="shared" si="159"/>
        <v>0</v>
      </c>
      <c r="L341" s="64">
        <f t="shared" si="159"/>
        <v>0</v>
      </c>
      <c r="M341" s="64">
        <f t="shared" si="159"/>
        <v>0</v>
      </c>
      <c r="N341" s="172">
        <f t="shared" si="159"/>
        <v>0</v>
      </c>
      <c r="O341" s="64">
        <f t="shared" si="159"/>
        <v>0</v>
      </c>
      <c r="P341" s="64">
        <f t="shared" si="159"/>
        <v>0</v>
      </c>
      <c r="Q341" s="64">
        <f t="shared" si="159"/>
        <v>0</v>
      </c>
      <c r="R341" s="64">
        <f t="shared" si="159"/>
        <v>0</v>
      </c>
      <c r="S341" s="64">
        <f t="shared" si="159"/>
        <v>0</v>
      </c>
    </row>
    <row r="342" spans="1:19" s="25" customFormat="1" ht="25.5" hidden="1">
      <c r="A342" s="17"/>
      <c r="B342" s="41" t="s">
        <v>395</v>
      </c>
      <c r="C342" s="41"/>
      <c r="D342" s="83" t="s">
        <v>397</v>
      </c>
      <c r="E342" s="93">
        <f>E343</f>
        <v>9780</v>
      </c>
      <c r="F342" s="93">
        <f t="shared" si="159"/>
        <v>9780</v>
      </c>
      <c r="G342" s="64">
        <f t="shared" si="159"/>
        <v>0</v>
      </c>
      <c r="H342" s="64">
        <f t="shared" si="159"/>
        <v>0</v>
      </c>
      <c r="I342" s="78">
        <f t="shared" si="159"/>
        <v>0</v>
      </c>
      <c r="J342" s="64">
        <f t="shared" si="159"/>
        <v>0</v>
      </c>
      <c r="K342" s="64">
        <f t="shared" si="159"/>
        <v>0</v>
      </c>
      <c r="L342" s="64">
        <f t="shared" si="159"/>
        <v>0</v>
      </c>
      <c r="M342" s="64">
        <f t="shared" si="159"/>
        <v>0</v>
      </c>
      <c r="N342" s="172">
        <f t="shared" si="159"/>
        <v>0</v>
      </c>
      <c r="O342" s="64">
        <f t="shared" si="159"/>
        <v>0</v>
      </c>
      <c r="P342" s="64">
        <f t="shared" si="159"/>
        <v>0</v>
      </c>
      <c r="Q342" s="64">
        <f t="shared" si="159"/>
        <v>0</v>
      </c>
      <c r="R342" s="64">
        <f t="shared" si="159"/>
        <v>0</v>
      </c>
      <c r="S342" s="64">
        <f t="shared" si="159"/>
        <v>0</v>
      </c>
    </row>
    <row r="343" spans="1:19" s="25" customFormat="1" ht="25.5" hidden="1">
      <c r="A343" s="17"/>
      <c r="B343" s="63"/>
      <c r="C343" s="41" t="s">
        <v>3</v>
      </c>
      <c r="D343" s="67" t="s">
        <v>95</v>
      </c>
      <c r="E343" s="93">
        <f>9780</f>
        <v>9780</v>
      </c>
      <c r="F343" s="93">
        <f>E343+SUM(G343:Q343)</f>
        <v>9780</v>
      </c>
      <c r="G343" s="64"/>
      <c r="H343" s="64"/>
      <c r="I343" s="154"/>
      <c r="J343" s="65"/>
      <c r="K343" s="64"/>
      <c r="L343" s="64"/>
      <c r="M343" s="64"/>
      <c r="N343" s="172"/>
      <c r="O343" s="64"/>
      <c r="P343" s="64"/>
      <c r="Q343" s="64"/>
      <c r="R343" s="64"/>
      <c r="S343" s="64"/>
    </row>
    <row r="344" spans="1:19" s="25" customFormat="1" ht="12.75" hidden="1">
      <c r="A344" s="17"/>
      <c r="B344" s="66" t="s">
        <v>398</v>
      </c>
      <c r="C344" s="41"/>
      <c r="D344" s="83" t="s">
        <v>400</v>
      </c>
      <c r="E344" s="79">
        <f>E345</f>
        <v>10724.5</v>
      </c>
      <c r="F344" s="79">
        <f aca="true" t="shared" si="160" ref="F344:S345">F345</f>
        <v>6799.34793</v>
      </c>
      <c r="G344" s="68">
        <f t="shared" si="160"/>
        <v>0</v>
      </c>
      <c r="H344" s="68">
        <f t="shared" si="160"/>
        <v>-1127.528</v>
      </c>
      <c r="I344" s="70">
        <f t="shared" si="160"/>
        <v>-1964.2907400000001</v>
      </c>
      <c r="J344" s="68">
        <f t="shared" si="160"/>
        <v>-833.33333</v>
      </c>
      <c r="K344" s="68">
        <f t="shared" si="160"/>
        <v>0</v>
      </c>
      <c r="L344" s="68">
        <f t="shared" si="160"/>
        <v>0</v>
      </c>
      <c r="M344" s="68">
        <f t="shared" si="160"/>
        <v>0</v>
      </c>
      <c r="N344" s="168">
        <f t="shared" si="160"/>
        <v>0</v>
      </c>
      <c r="O344" s="68">
        <f t="shared" si="160"/>
        <v>0</v>
      </c>
      <c r="P344" s="68">
        <f t="shared" si="160"/>
        <v>0</v>
      </c>
      <c r="Q344" s="68">
        <f t="shared" si="160"/>
        <v>0</v>
      </c>
      <c r="R344" s="68">
        <f t="shared" si="160"/>
        <v>0</v>
      </c>
      <c r="S344" s="68">
        <f t="shared" si="160"/>
        <v>0</v>
      </c>
    </row>
    <row r="345" spans="1:20" s="25" customFormat="1" ht="25.5" hidden="1">
      <c r="A345" s="17"/>
      <c r="B345" s="66" t="s">
        <v>399</v>
      </c>
      <c r="C345" s="41"/>
      <c r="D345" s="83" t="s">
        <v>397</v>
      </c>
      <c r="E345" s="79">
        <f>E346</f>
        <v>10724.5</v>
      </c>
      <c r="F345" s="79">
        <f t="shared" si="160"/>
        <v>6799.34793</v>
      </c>
      <c r="G345" s="68">
        <f t="shared" si="160"/>
        <v>0</v>
      </c>
      <c r="H345" s="68">
        <f t="shared" si="160"/>
        <v>-1127.528</v>
      </c>
      <c r="I345" s="70">
        <f t="shared" si="160"/>
        <v>-1964.2907400000001</v>
      </c>
      <c r="J345" s="68">
        <f t="shared" si="160"/>
        <v>-833.33333</v>
      </c>
      <c r="K345" s="68">
        <f t="shared" si="160"/>
        <v>0</v>
      </c>
      <c r="L345" s="68">
        <f t="shared" si="160"/>
        <v>0</v>
      </c>
      <c r="M345" s="68">
        <f t="shared" si="160"/>
        <v>0</v>
      </c>
      <c r="N345" s="168">
        <f t="shared" si="160"/>
        <v>0</v>
      </c>
      <c r="O345" s="68">
        <f t="shared" si="160"/>
        <v>0</v>
      </c>
      <c r="P345" s="68">
        <f t="shared" si="160"/>
        <v>0</v>
      </c>
      <c r="Q345" s="68">
        <f t="shared" si="160"/>
        <v>0</v>
      </c>
      <c r="R345" s="68">
        <f t="shared" si="160"/>
        <v>0</v>
      </c>
      <c r="S345" s="68">
        <f t="shared" si="160"/>
        <v>0</v>
      </c>
      <c r="T345" s="24"/>
    </row>
    <row r="346" spans="1:19" s="25" customFormat="1" ht="25.5" hidden="1">
      <c r="A346" s="17"/>
      <c r="B346" s="66"/>
      <c r="C346" s="41" t="s">
        <v>3</v>
      </c>
      <c r="D346" s="67" t="s">
        <v>95</v>
      </c>
      <c r="E346" s="79">
        <f>9576.2+148.3+1000</f>
        <v>10724.5</v>
      </c>
      <c r="F346" s="93">
        <f>E346+SUM(G346:Q346)</f>
        <v>6799.34793</v>
      </c>
      <c r="G346" s="64"/>
      <c r="H346" s="64">
        <v>-1127.528</v>
      </c>
      <c r="I346" s="65">
        <f>-1938.94-15-10.35074</f>
        <v>-1964.2907400000001</v>
      </c>
      <c r="J346" s="65">
        <v>-833.33333</v>
      </c>
      <c r="K346" s="64"/>
      <c r="L346" s="64"/>
      <c r="M346" s="64"/>
      <c r="N346" s="172"/>
      <c r="O346" s="64"/>
      <c r="P346" s="64"/>
      <c r="Q346" s="64"/>
      <c r="R346" s="64"/>
      <c r="S346" s="64"/>
    </row>
    <row r="347" spans="1:19" s="25" customFormat="1" ht="25.5" hidden="1">
      <c r="A347" s="17"/>
      <c r="B347" s="66" t="s">
        <v>401</v>
      </c>
      <c r="C347" s="41"/>
      <c r="D347" s="83" t="s">
        <v>403</v>
      </c>
      <c r="E347" s="93">
        <f>E348</f>
        <v>100</v>
      </c>
      <c r="F347" s="93">
        <f aca="true" t="shared" si="161" ref="F347:S348">F348</f>
        <v>100</v>
      </c>
      <c r="G347" s="64">
        <f t="shared" si="161"/>
        <v>0</v>
      </c>
      <c r="H347" s="64">
        <f t="shared" si="161"/>
        <v>0</v>
      </c>
      <c r="I347" s="78">
        <f t="shared" si="161"/>
        <v>0</v>
      </c>
      <c r="J347" s="64">
        <f t="shared" si="161"/>
        <v>0</v>
      </c>
      <c r="K347" s="64">
        <f t="shared" si="161"/>
        <v>0</v>
      </c>
      <c r="L347" s="64">
        <f t="shared" si="161"/>
        <v>0</v>
      </c>
      <c r="M347" s="64">
        <f t="shared" si="161"/>
        <v>0</v>
      </c>
      <c r="N347" s="172">
        <f t="shared" si="161"/>
        <v>0</v>
      </c>
      <c r="O347" s="64">
        <f t="shared" si="161"/>
        <v>0</v>
      </c>
      <c r="P347" s="64">
        <f t="shared" si="161"/>
        <v>0</v>
      </c>
      <c r="Q347" s="64">
        <f t="shared" si="161"/>
        <v>0</v>
      </c>
      <c r="R347" s="64">
        <f t="shared" si="161"/>
        <v>0</v>
      </c>
      <c r="S347" s="64">
        <f t="shared" si="161"/>
        <v>0</v>
      </c>
    </row>
    <row r="348" spans="1:19" s="25" customFormat="1" ht="25.5" hidden="1">
      <c r="A348" s="17"/>
      <c r="B348" s="66" t="s">
        <v>402</v>
      </c>
      <c r="C348" s="41"/>
      <c r="D348" s="83" t="s">
        <v>397</v>
      </c>
      <c r="E348" s="93">
        <f>E349</f>
        <v>100</v>
      </c>
      <c r="F348" s="93">
        <f t="shared" si="161"/>
        <v>100</v>
      </c>
      <c r="G348" s="64">
        <f t="shared" si="161"/>
        <v>0</v>
      </c>
      <c r="H348" s="64">
        <f t="shared" si="161"/>
        <v>0</v>
      </c>
      <c r="I348" s="78">
        <f t="shared" si="161"/>
        <v>0</v>
      </c>
      <c r="J348" s="64">
        <f t="shared" si="161"/>
        <v>0</v>
      </c>
      <c r="K348" s="64">
        <f t="shared" si="161"/>
        <v>0</v>
      </c>
      <c r="L348" s="64">
        <f t="shared" si="161"/>
        <v>0</v>
      </c>
      <c r="M348" s="64">
        <f t="shared" si="161"/>
        <v>0</v>
      </c>
      <c r="N348" s="172">
        <f t="shared" si="161"/>
        <v>0</v>
      </c>
      <c r="O348" s="64">
        <f t="shared" si="161"/>
        <v>0</v>
      </c>
      <c r="P348" s="64">
        <f t="shared" si="161"/>
        <v>0</v>
      </c>
      <c r="Q348" s="64">
        <f t="shared" si="161"/>
        <v>0</v>
      </c>
      <c r="R348" s="64">
        <f t="shared" si="161"/>
        <v>0</v>
      </c>
      <c r="S348" s="64">
        <f t="shared" si="161"/>
        <v>0</v>
      </c>
    </row>
    <row r="349" spans="1:19" s="25" customFormat="1" ht="25.5" hidden="1">
      <c r="A349" s="17"/>
      <c r="B349" s="66"/>
      <c r="C349" s="41" t="s">
        <v>3</v>
      </c>
      <c r="D349" s="67" t="s">
        <v>95</v>
      </c>
      <c r="E349" s="79">
        <f>100</f>
        <v>100</v>
      </c>
      <c r="F349" s="93">
        <f>E349+SUM(G349:Q349)</f>
        <v>100</v>
      </c>
      <c r="G349" s="64"/>
      <c r="H349" s="64"/>
      <c r="I349" s="154"/>
      <c r="J349" s="65"/>
      <c r="K349" s="64"/>
      <c r="L349" s="78"/>
      <c r="M349" s="64"/>
      <c r="N349" s="172"/>
      <c r="O349" s="64"/>
      <c r="P349" s="64"/>
      <c r="Q349" s="64"/>
      <c r="R349" s="64"/>
      <c r="S349" s="64"/>
    </row>
    <row r="350" spans="1:19" s="25" customFormat="1" ht="12.75" hidden="1">
      <c r="A350" s="17"/>
      <c r="B350" s="66" t="s">
        <v>404</v>
      </c>
      <c r="C350" s="41"/>
      <c r="D350" s="83" t="s">
        <v>406</v>
      </c>
      <c r="E350" s="79">
        <f>E351+E353</f>
        <v>3792</v>
      </c>
      <c r="F350" s="79">
        <f aca="true" t="shared" si="162" ref="F350:Q350">F351+F353</f>
        <v>3791.96552</v>
      </c>
      <c r="G350" s="79">
        <f t="shared" si="162"/>
        <v>0</v>
      </c>
      <c r="H350" s="79">
        <f t="shared" si="162"/>
        <v>200</v>
      </c>
      <c r="I350" s="96">
        <f t="shared" si="162"/>
        <v>0</v>
      </c>
      <c r="J350" s="79">
        <f t="shared" si="162"/>
        <v>0</v>
      </c>
      <c r="K350" s="79">
        <f t="shared" si="162"/>
        <v>0</v>
      </c>
      <c r="L350" s="79">
        <f t="shared" si="162"/>
        <v>0</v>
      </c>
      <c r="M350" s="79">
        <f t="shared" si="162"/>
        <v>0</v>
      </c>
      <c r="N350" s="170">
        <f t="shared" si="162"/>
        <v>-200.03448</v>
      </c>
      <c r="O350" s="79">
        <f t="shared" si="162"/>
        <v>0</v>
      </c>
      <c r="P350" s="79">
        <f t="shared" si="162"/>
        <v>0</v>
      </c>
      <c r="Q350" s="79">
        <f t="shared" si="162"/>
        <v>0</v>
      </c>
      <c r="R350" s="79">
        <f>R351+R353</f>
        <v>0</v>
      </c>
      <c r="S350" s="79">
        <f>S351+S353</f>
        <v>0</v>
      </c>
    </row>
    <row r="351" spans="1:19" s="25" customFormat="1" ht="25.5" hidden="1">
      <c r="A351" s="17"/>
      <c r="B351" s="66" t="s">
        <v>405</v>
      </c>
      <c r="C351" s="41"/>
      <c r="D351" s="83" t="s">
        <v>397</v>
      </c>
      <c r="E351" s="79">
        <f>E352</f>
        <v>3792</v>
      </c>
      <c r="F351" s="79">
        <f aca="true" t="shared" si="163" ref="F351:S351">F352</f>
        <v>3791.96552</v>
      </c>
      <c r="G351" s="68">
        <f t="shared" si="163"/>
        <v>0</v>
      </c>
      <c r="H351" s="68">
        <f t="shared" si="163"/>
        <v>200</v>
      </c>
      <c r="I351" s="70">
        <f t="shared" si="163"/>
        <v>0</v>
      </c>
      <c r="J351" s="68">
        <f t="shared" si="163"/>
        <v>0</v>
      </c>
      <c r="K351" s="68">
        <f t="shared" si="163"/>
        <v>0</v>
      </c>
      <c r="L351" s="68">
        <f t="shared" si="163"/>
        <v>0</v>
      </c>
      <c r="M351" s="68">
        <f t="shared" si="163"/>
        <v>0</v>
      </c>
      <c r="N351" s="168">
        <f t="shared" si="163"/>
        <v>-200.03448</v>
      </c>
      <c r="O351" s="68">
        <f t="shared" si="163"/>
        <v>0</v>
      </c>
      <c r="P351" s="68">
        <f t="shared" si="163"/>
        <v>0</v>
      </c>
      <c r="Q351" s="68">
        <f t="shared" si="163"/>
        <v>0</v>
      </c>
      <c r="R351" s="68">
        <f t="shared" si="163"/>
        <v>0</v>
      </c>
      <c r="S351" s="68">
        <f t="shared" si="163"/>
        <v>0</v>
      </c>
    </row>
    <row r="352" spans="1:19" s="25" customFormat="1" ht="38.25" customHeight="1" hidden="1">
      <c r="A352" s="17"/>
      <c r="B352" s="66"/>
      <c r="C352" s="41" t="s">
        <v>3</v>
      </c>
      <c r="D352" s="67" t="s">
        <v>95</v>
      </c>
      <c r="E352" s="79">
        <f>3792</f>
        <v>3792</v>
      </c>
      <c r="F352" s="93">
        <f>E352+SUM(G352:Q352)</f>
        <v>3791.96552</v>
      </c>
      <c r="G352" s="68"/>
      <c r="H352" s="68">
        <v>200</v>
      </c>
      <c r="I352" s="153"/>
      <c r="J352" s="69"/>
      <c r="K352" s="68"/>
      <c r="L352" s="68"/>
      <c r="M352" s="68"/>
      <c r="N352" s="168">
        <f>-200.01448-0.02</f>
        <v>-200.03448</v>
      </c>
      <c r="O352" s="68"/>
      <c r="P352" s="68"/>
      <c r="Q352" s="68"/>
      <c r="R352" s="68"/>
      <c r="S352" s="68"/>
    </row>
    <row r="353" spans="1:19" s="25" customFormat="1" ht="58.5" customHeight="1" hidden="1">
      <c r="A353" s="17"/>
      <c r="B353" s="66" t="s">
        <v>472</v>
      </c>
      <c r="C353" s="41"/>
      <c r="D353" s="67" t="s">
        <v>474</v>
      </c>
      <c r="E353" s="79">
        <f>E354</f>
        <v>0</v>
      </c>
      <c r="F353" s="79">
        <f aca="true" t="shared" si="164" ref="F353:S353">F354</f>
        <v>0</v>
      </c>
      <c r="G353" s="79">
        <f t="shared" si="164"/>
        <v>0</v>
      </c>
      <c r="H353" s="79">
        <f t="shared" si="164"/>
        <v>0</v>
      </c>
      <c r="I353" s="96">
        <f t="shared" si="164"/>
        <v>0</v>
      </c>
      <c r="J353" s="79">
        <f t="shared" si="164"/>
        <v>0</v>
      </c>
      <c r="K353" s="79">
        <f t="shared" si="164"/>
        <v>0</v>
      </c>
      <c r="L353" s="79">
        <f t="shared" si="164"/>
        <v>0</v>
      </c>
      <c r="M353" s="79">
        <f t="shared" si="164"/>
        <v>0</v>
      </c>
      <c r="N353" s="170">
        <f t="shared" si="164"/>
        <v>0</v>
      </c>
      <c r="O353" s="79">
        <f t="shared" si="164"/>
        <v>0</v>
      </c>
      <c r="P353" s="79">
        <f t="shared" si="164"/>
        <v>0</v>
      </c>
      <c r="Q353" s="79">
        <f t="shared" si="164"/>
        <v>0</v>
      </c>
      <c r="R353" s="79">
        <f t="shared" si="164"/>
        <v>0</v>
      </c>
      <c r="S353" s="79">
        <f t="shared" si="164"/>
        <v>0</v>
      </c>
    </row>
    <row r="354" spans="1:19" s="25" customFormat="1" ht="38.25" customHeight="1" hidden="1">
      <c r="A354" s="17"/>
      <c r="B354" s="66"/>
      <c r="C354" s="41" t="s">
        <v>3</v>
      </c>
      <c r="D354" s="67" t="s">
        <v>95</v>
      </c>
      <c r="E354" s="79"/>
      <c r="F354" s="93">
        <f>E354+SUM(G354:Q354)</f>
        <v>0</v>
      </c>
      <c r="G354" s="68"/>
      <c r="H354" s="68"/>
      <c r="I354" s="153"/>
      <c r="J354" s="69"/>
      <c r="K354" s="68"/>
      <c r="L354" s="68"/>
      <c r="M354" s="68"/>
      <c r="N354" s="168"/>
      <c r="O354" s="68"/>
      <c r="P354" s="68"/>
      <c r="Q354" s="68"/>
      <c r="R354" s="68"/>
      <c r="S354" s="68"/>
    </row>
    <row r="355" spans="1:19" s="25" customFormat="1" ht="38.25" hidden="1">
      <c r="A355" s="17"/>
      <c r="B355" s="66" t="s">
        <v>407</v>
      </c>
      <c r="C355" s="41"/>
      <c r="D355" s="83" t="s">
        <v>409</v>
      </c>
      <c r="E355" s="79">
        <f>E356</f>
        <v>80</v>
      </c>
      <c r="F355" s="79">
        <f aca="true" t="shared" si="165" ref="F355:S356">F356</f>
        <v>80</v>
      </c>
      <c r="G355" s="68">
        <f t="shared" si="165"/>
        <v>0</v>
      </c>
      <c r="H355" s="68">
        <f t="shared" si="165"/>
        <v>0</v>
      </c>
      <c r="I355" s="70">
        <f t="shared" si="165"/>
        <v>0</v>
      </c>
      <c r="J355" s="68">
        <f t="shared" si="165"/>
        <v>0</v>
      </c>
      <c r="K355" s="68">
        <f t="shared" si="165"/>
        <v>0</v>
      </c>
      <c r="L355" s="68">
        <f t="shared" si="165"/>
        <v>0</v>
      </c>
      <c r="M355" s="68">
        <f t="shared" si="165"/>
        <v>0</v>
      </c>
      <c r="N355" s="168">
        <f t="shared" si="165"/>
        <v>0</v>
      </c>
      <c r="O355" s="68">
        <f t="shared" si="165"/>
        <v>0</v>
      </c>
      <c r="P355" s="68">
        <f t="shared" si="165"/>
        <v>0</v>
      </c>
      <c r="Q355" s="68">
        <f t="shared" si="165"/>
        <v>0</v>
      </c>
      <c r="R355" s="68">
        <f t="shared" si="165"/>
        <v>0</v>
      </c>
      <c r="S355" s="68">
        <f t="shared" si="165"/>
        <v>0</v>
      </c>
    </row>
    <row r="356" spans="1:19" s="25" customFormat="1" ht="25.5" hidden="1">
      <c r="A356" s="17"/>
      <c r="B356" s="66" t="s">
        <v>408</v>
      </c>
      <c r="C356" s="41"/>
      <c r="D356" s="83" t="s">
        <v>397</v>
      </c>
      <c r="E356" s="79">
        <f>E357</f>
        <v>80</v>
      </c>
      <c r="F356" s="79">
        <f t="shared" si="165"/>
        <v>80</v>
      </c>
      <c r="G356" s="68">
        <f t="shared" si="165"/>
        <v>0</v>
      </c>
      <c r="H356" s="68">
        <f t="shared" si="165"/>
        <v>0</v>
      </c>
      <c r="I356" s="70">
        <f t="shared" si="165"/>
        <v>0</v>
      </c>
      <c r="J356" s="68">
        <f t="shared" si="165"/>
        <v>0</v>
      </c>
      <c r="K356" s="68">
        <f t="shared" si="165"/>
        <v>0</v>
      </c>
      <c r="L356" s="68">
        <f t="shared" si="165"/>
        <v>0</v>
      </c>
      <c r="M356" s="68">
        <f t="shared" si="165"/>
        <v>0</v>
      </c>
      <c r="N356" s="168">
        <f t="shared" si="165"/>
        <v>0</v>
      </c>
      <c r="O356" s="68">
        <f t="shared" si="165"/>
        <v>0</v>
      </c>
      <c r="P356" s="68">
        <f t="shared" si="165"/>
        <v>0</v>
      </c>
      <c r="Q356" s="68">
        <f t="shared" si="165"/>
        <v>0</v>
      </c>
      <c r="R356" s="68">
        <f t="shared" si="165"/>
        <v>0</v>
      </c>
      <c r="S356" s="68">
        <f t="shared" si="165"/>
        <v>0</v>
      </c>
    </row>
    <row r="357" spans="1:19" s="25" customFormat="1" ht="25.5" hidden="1">
      <c r="A357" s="17"/>
      <c r="B357" s="66"/>
      <c r="C357" s="41" t="s">
        <v>3</v>
      </c>
      <c r="D357" s="67" t="s">
        <v>95</v>
      </c>
      <c r="E357" s="79">
        <f>80</f>
        <v>80</v>
      </c>
      <c r="F357" s="93">
        <f>E357+SUM(G357:Q357)</f>
        <v>80</v>
      </c>
      <c r="G357" s="68"/>
      <c r="H357" s="68"/>
      <c r="I357" s="153"/>
      <c r="J357" s="69"/>
      <c r="K357" s="68"/>
      <c r="L357" s="70"/>
      <c r="M357" s="68"/>
      <c r="N357" s="168"/>
      <c r="O357" s="68"/>
      <c r="P357" s="68"/>
      <c r="Q357" s="68"/>
      <c r="R357" s="68"/>
      <c r="S357" s="68"/>
    </row>
    <row r="358" spans="1:19" s="25" customFormat="1" ht="51">
      <c r="A358" s="17"/>
      <c r="B358" s="63" t="s">
        <v>530</v>
      </c>
      <c r="C358" s="11"/>
      <c r="D358" s="113" t="s">
        <v>564</v>
      </c>
      <c r="E358" s="95">
        <f>E359+E364</f>
        <v>0</v>
      </c>
      <c r="F358" s="95">
        <f aca="true" t="shared" si="166" ref="F358:Q358">F359+F364</f>
        <v>13467.513200000001</v>
      </c>
      <c r="G358" s="95">
        <f t="shared" si="166"/>
        <v>0</v>
      </c>
      <c r="H358" s="95">
        <f t="shared" si="166"/>
        <v>0</v>
      </c>
      <c r="I358" s="95">
        <f t="shared" si="166"/>
        <v>0</v>
      </c>
      <c r="J358" s="95">
        <f t="shared" si="166"/>
        <v>0</v>
      </c>
      <c r="K358" s="95">
        <f t="shared" si="166"/>
        <v>13414</v>
      </c>
      <c r="L358" s="95">
        <f t="shared" si="166"/>
        <v>53.513200000000005</v>
      </c>
      <c r="M358" s="95">
        <f t="shared" si="166"/>
        <v>0</v>
      </c>
      <c r="N358" s="169">
        <f t="shared" si="166"/>
        <v>0</v>
      </c>
      <c r="O358" s="95">
        <f t="shared" si="166"/>
        <v>0</v>
      </c>
      <c r="P358" s="95">
        <f t="shared" si="166"/>
        <v>0</v>
      </c>
      <c r="Q358" s="95">
        <f t="shared" si="166"/>
        <v>0</v>
      </c>
      <c r="R358" s="95">
        <f>R359+R364</f>
        <v>0</v>
      </c>
      <c r="S358" s="95">
        <f>S359+S364</f>
        <v>0</v>
      </c>
    </row>
    <row r="359" spans="1:19" s="25" customFormat="1" ht="25.5">
      <c r="A359" s="17"/>
      <c r="B359" s="66" t="s">
        <v>532</v>
      </c>
      <c r="C359" s="41"/>
      <c r="D359" s="67" t="s">
        <v>533</v>
      </c>
      <c r="E359" s="79">
        <f>E360+E362</f>
        <v>0</v>
      </c>
      <c r="F359" s="79">
        <f aca="true" t="shared" si="167" ref="F359:R359">F360+F362</f>
        <v>8942.64493</v>
      </c>
      <c r="G359" s="79">
        <f t="shared" si="167"/>
        <v>0</v>
      </c>
      <c r="H359" s="79">
        <f t="shared" si="167"/>
        <v>0</v>
      </c>
      <c r="I359" s="79">
        <f t="shared" si="167"/>
        <v>0</v>
      </c>
      <c r="J359" s="79">
        <f t="shared" si="167"/>
        <v>0</v>
      </c>
      <c r="K359" s="79">
        <f t="shared" si="167"/>
        <v>8942.7</v>
      </c>
      <c r="L359" s="79">
        <f t="shared" si="167"/>
        <v>-0.05507</v>
      </c>
      <c r="M359" s="79">
        <f t="shared" si="167"/>
        <v>0</v>
      </c>
      <c r="N359" s="79">
        <f t="shared" si="167"/>
        <v>0</v>
      </c>
      <c r="O359" s="79">
        <f t="shared" si="167"/>
        <v>0</v>
      </c>
      <c r="P359" s="79">
        <f t="shared" si="167"/>
        <v>0</v>
      </c>
      <c r="Q359" s="79">
        <f t="shared" si="167"/>
        <v>0</v>
      </c>
      <c r="R359" s="79">
        <f t="shared" si="167"/>
        <v>0</v>
      </c>
      <c r="S359" s="79">
        <f aca="true" t="shared" si="168" ref="F359:S360">S360</f>
        <v>0</v>
      </c>
    </row>
    <row r="360" spans="1:19" s="25" customFormat="1" ht="25.5">
      <c r="A360" s="17"/>
      <c r="B360" s="66" t="s">
        <v>534</v>
      </c>
      <c r="C360" s="41"/>
      <c r="D360" s="67" t="s">
        <v>536</v>
      </c>
      <c r="E360" s="79">
        <f>E361</f>
        <v>0</v>
      </c>
      <c r="F360" s="79">
        <f t="shared" si="168"/>
        <v>0</v>
      </c>
      <c r="G360" s="79">
        <f t="shared" si="168"/>
        <v>0</v>
      </c>
      <c r="H360" s="79">
        <f t="shared" si="168"/>
        <v>0</v>
      </c>
      <c r="I360" s="79">
        <f t="shared" si="168"/>
        <v>0</v>
      </c>
      <c r="J360" s="79">
        <f t="shared" si="168"/>
        <v>0</v>
      </c>
      <c r="K360" s="79">
        <f t="shared" si="168"/>
        <v>8942.7</v>
      </c>
      <c r="L360" s="79">
        <f t="shared" si="168"/>
        <v>-0.05507</v>
      </c>
      <c r="M360" s="79">
        <f t="shared" si="168"/>
        <v>0</v>
      </c>
      <c r="N360" s="170">
        <f t="shared" si="168"/>
        <v>0</v>
      </c>
      <c r="O360" s="79">
        <f t="shared" si="168"/>
        <v>0</v>
      </c>
      <c r="P360" s="79">
        <f t="shared" si="168"/>
        <v>0</v>
      </c>
      <c r="Q360" s="79">
        <f t="shared" si="168"/>
        <v>0</v>
      </c>
      <c r="R360" s="79">
        <f t="shared" si="168"/>
        <v>-8942.64493</v>
      </c>
      <c r="S360" s="79">
        <f t="shared" si="168"/>
        <v>0</v>
      </c>
    </row>
    <row r="361" spans="1:19" s="25" customFormat="1" ht="25.5">
      <c r="A361" s="17"/>
      <c r="B361" s="66"/>
      <c r="C361" s="41" t="s">
        <v>3</v>
      </c>
      <c r="D361" s="67" t="s">
        <v>95</v>
      </c>
      <c r="E361" s="79"/>
      <c r="F361" s="93">
        <f>E361+SUM(G361:S361)</f>
        <v>0</v>
      </c>
      <c r="G361" s="68"/>
      <c r="H361" s="68"/>
      <c r="I361" s="153"/>
      <c r="J361" s="69"/>
      <c r="K361" s="68">
        <v>8942.7</v>
      </c>
      <c r="L361" s="68">
        <f>-0.05507</f>
        <v>-0.05507</v>
      </c>
      <c r="M361" s="68"/>
      <c r="N361" s="168"/>
      <c r="O361" s="68"/>
      <c r="P361" s="68"/>
      <c r="Q361" s="68"/>
      <c r="R361" s="68">
        <v>-8942.64493</v>
      </c>
      <c r="S361" s="68"/>
    </row>
    <row r="362" spans="1:19" s="25" customFormat="1" ht="25.5">
      <c r="A362" s="17"/>
      <c r="B362" s="66" t="s">
        <v>560</v>
      </c>
      <c r="C362" s="41"/>
      <c r="D362" s="67" t="s">
        <v>536</v>
      </c>
      <c r="E362" s="79">
        <f>E363</f>
        <v>0</v>
      </c>
      <c r="F362" s="79">
        <f aca="true" t="shared" si="169" ref="F362:S362">F363</f>
        <v>8942.64493</v>
      </c>
      <c r="G362" s="79">
        <f t="shared" si="169"/>
        <v>0</v>
      </c>
      <c r="H362" s="79">
        <f t="shared" si="169"/>
        <v>0</v>
      </c>
      <c r="I362" s="79">
        <f t="shared" si="169"/>
        <v>0</v>
      </c>
      <c r="J362" s="79">
        <f t="shared" si="169"/>
        <v>0</v>
      </c>
      <c r="K362" s="79">
        <f t="shared" si="169"/>
        <v>0</v>
      </c>
      <c r="L362" s="79">
        <f t="shared" si="169"/>
        <v>0</v>
      </c>
      <c r="M362" s="79">
        <f t="shared" si="169"/>
        <v>0</v>
      </c>
      <c r="N362" s="79">
        <f t="shared" si="169"/>
        <v>0</v>
      </c>
      <c r="O362" s="79">
        <f t="shared" si="169"/>
        <v>0</v>
      </c>
      <c r="P362" s="79">
        <f t="shared" si="169"/>
        <v>0</v>
      </c>
      <c r="Q362" s="79">
        <f t="shared" si="169"/>
        <v>0</v>
      </c>
      <c r="R362" s="79">
        <f t="shared" si="169"/>
        <v>8942.64493</v>
      </c>
      <c r="S362" s="79">
        <f t="shared" si="169"/>
        <v>0</v>
      </c>
    </row>
    <row r="363" spans="1:19" s="25" customFormat="1" ht="25.5">
      <c r="A363" s="17"/>
      <c r="B363" s="66"/>
      <c r="C363" s="41" t="s">
        <v>3</v>
      </c>
      <c r="D363" s="67" t="s">
        <v>95</v>
      </c>
      <c r="E363" s="79"/>
      <c r="F363" s="93">
        <f>E363+SUM(G363:S363)</f>
        <v>8942.64493</v>
      </c>
      <c r="G363" s="68"/>
      <c r="H363" s="68"/>
      <c r="I363" s="153"/>
      <c r="J363" s="69"/>
      <c r="K363" s="68"/>
      <c r="L363" s="68"/>
      <c r="M363" s="68"/>
      <c r="N363" s="168"/>
      <c r="O363" s="68"/>
      <c r="P363" s="68"/>
      <c r="Q363" s="68"/>
      <c r="R363" s="68">
        <v>8942.64493</v>
      </c>
      <c r="S363" s="68"/>
    </row>
    <row r="364" spans="1:19" s="25" customFormat="1" ht="38.25">
      <c r="A364" s="17"/>
      <c r="B364" s="66" t="s">
        <v>537</v>
      </c>
      <c r="C364" s="41"/>
      <c r="D364" s="67" t="s">
        <v>538</v>
      </c>
      <c r="E364" s="79">
        <f>E365+E367</f>
        <v>0</v>
      </c>
      <c r="F364" s="79">
        <f aca="true" t="shared" si="170" ref="F364:S364">F365+F367</f>
        <v>4524.86827</v>
      </c>
      <c r="G364" s="79">
        <f t="shared" si="170"/>
        <v>0</v>
      </c>
      <c r="H364" s="79">
        <f t="shared" si="170"/>
        <v>0</v>
      </c>
      <c r="I364" s="79">
        <f t="shared" si="170"/>
        <v>0</v>
      </c>
      <c r="J364" s="79">
        <f t="shared" si="170"/>
        <v>0</v>
      </c>
      <c r="K364" s="79">
        <f t="shared" si="170"/>
        <v>4471.3</v>
      </c>
      <c r="L364" s="79">
        <f t="shared" si="170"/>
        <v>53.568270000000005</v>
      </c>
      <c r="M364" s="79">
        <f t="shared" si="170"/>
        <v>0</v>
      </c>
      <c r="N364" s="79">
        <f t="shared" si="170"/>
        <v>0</v>
      </c>
      <c r="O364" s="79">
        <f t="shared" si="170"/>
        <v>0</v>
      </c>
      <c r="P364" s="79">
        <f t="shared" si="170"/>
        <v>0</v>
      </c>
      <c r="Q364" s="79">
        <f t="shared" si="170"/>
        <v>0</v>
      </c>
      <c r="R364" s="79">
        <f t="shared" si="170"/>
        <v>0</v>
      </c>
      <c r="S364" s="79">
        <f t="shared" si="170"/>
        <v>0</v>
      </c>
    </row>
    <row r="365" spans="1:19" s="25" customFormat="1" ht="25.5">
      <c r="A365" s="17"/>
      <c r="B365" s="66" t="s">
        <v>540</v>
      </c>
      <c r="C365" s="41"/>
      <c r="D365" s="67" t="s">
        <v>536</v>
      </c>
      <c r="E365" s="79">
        <f>E366</f>
        <v>0</v>
      </c>
      <c r="F365" s="79">
        <f aca="true" t="shared" si="171" ref="F365:S365">F366</f>
        <v>0</v>
      </c>
      <c r="G365" s="79">
        <f t="shared" si="171"/>
        <v>0</v>
      </c>
      <c r="H365" s="79">
        <f t="shared" si="171"/>
        <v>0</v>
      </c>
      <c r="I365" s="79">
        <f t="shared" si="171"/>
        <v>0</v>
      </c>
      <c r="J365" s="79">
        <f t="shared" si="171"/>
        <v>0</v>
      </c>
      <c r="K365" s="79">
        <f t="shared" si="171"/>
        <v>4471.3</v>
      </c>
      <c r="L365" s="79">
        <f t="shared" si="171"/>
        <v>53.568270000000005</v>
      </c>
      <c r="M365" s="79">
        <f t="shared" si="171"/>
        <v>0</v>
      </c>
      <c r="N365" s="170">
        <f t="shared" si="171"/>
        <v>0</v>
      </c>
      <c r="O365" s="79">
        <f t="shared" si="171"/>
        <v>0</v>
      </c>
      <c r="P365" s="79">
        <f t="shared" si="171"/>
        <v>0</v>
      </c>
      <c r="Q365" s="79">
        <f t="shared" si="171"/>
        <v>0</v>
      </c>
      <c r="R365" s="79">
        <f t="shared" si="171"/>
        <v>-4524.86827</v>
      </c>
      <c r="S365" s="79">
        <f t="shared" si="171"/>
        <v>0</v>
      </c>
    </row>
    <row r="366" spans="1:19" s="25" customFormat="1" ht="25.5">
      <c r="A366" s="17"/>
      <c r="B366" s="66"/>
      <c r="C366" s="41" t="s">
        <v>3</v>
      </c>
      <c r="D366" s="67" t="s">
        <v>95</v>
      </c>
      <c r="E366" s="79"/>
      <c r="F366" s="93">
        <f>E366+SUM(G366:S366)</f>
        <v>0</v>
      </c>
      <c r="G366" s="68"/>
      <c r="H366" s="68"/>
      <c r="I366" s="153"/>
      <c r="J366" s="69"/>
      <c r="K366" s="68">
        <v>4471.3</v>
      </c>
      <c r="L366" s="68">
        <f>0.02246+53.54581</f>
        <v>53.568270000000005</v>
      </c>
      <c r="M366" s="68"/>
      <c r="N366" s="168"/>
      <c r="O366" s="68"/>
      <c r="P366" s="68"/>
      <c r="Q366" s="68"/>
      <c r="R366" s="68">
        <f>-4471.32246-53.54581</f>
        <v>-4524.86827</v>
      </c>
      <c r="S366" s="68"/>
    </row>
    <row r="367" spans="1:19" s="25" customFormat="1" ht="25.5">
      <c r="A367" s="17"/>
      <c r="B367" s="66" t="s">
        <v>539</v>
      </c>
      <c r="C367" s="41"/>
      <c r="D367" s="67" t="s">
        <v>536</v>
      </c>
      <c r="E367" s="79">
        <f>E368</f>
        <v>0</v>
      </c>
      <c r="F367" s="79">
        <f aca="true" t="shared" si="172" ref="F367:S367">F368</f>
        <v>4524.86827</v>
      </c>
      <c r="G367" s="79">
        <f t="shared" si="172"/>
        <v>0</v>
      </c>
      <c r="H367" s="79">
        <f t="shared" si="172"/>
        <v>0</v>
      </c>
      <c r="I367" s="79">
        <f t="shared" si="172"/>
        <v>0</v>
      </c>
      <c r="J367" s="79">
        <f t="shared" si="172"/>
        <v>0</v>
      </c>
      <c r="K367" s="79">
        <f t="shared" si="172"/>
        <v>0</v>
      </c>
      <c r="L367" s="79">
        <f t="shared" si="172"/>
        <v>0</v>
      </c>
      <c r="M367" s="79">
        <f t="shared" si="172"/>
        <v>0</v>
      </c>
      <c r="N367" s="79">
        <f t="shared" si="172"/>
        <v>0</v>
      </c>
      <c r="O367" s="79">
        <f t="shared" si="172"/>
        <v>0</v>
      </c>
      <c r="P367" s="79">
        <f t="shared" si="172"/>
        <v>0</v>
      </c>
      <c r="Q367" s="79">
        <f t="shared" si="172"/>
        <v>0</v>
      </c>
      <c r="R367" s="79">
        <f t="shared" si="172"/>
        <v>4524.86827</v>
      </c>
      <c r="S367" s="79">
        <f t="shared" si="172"/>
        <v>0</v>
      </c>
    </row>
    <row r="368" spans="1:19" s="25" customFormat="1" ht="25.5">
      <c r="A368" s="17"/>
      <c r="B368" s="66"/>
      <c r="C368" s="41" t="s">
        <v>3</v>
      </c>
      <c r="D368" s="67" t="s">
        <v>95</v>
      </c>
      <c r="E368" s="79"/>
      <c r="F368" s="93">
        <f>E368+SUM(G368:S368)</f>
        <v>4524.86827</v>
      </c>
      <c r="G368" s="68"/>
      <c r="H368" s="68"/>
      <c r="I368" s="153"/>
      <c r="J368" s="69"/>
      <c r="K368" s="68"/>
      <c r="L368" s="68"/>
      <c r="M368" s="68"/>
      <c r="N368" s="168"/>
      <c r="O368" s="68"/>
      <c r="P368" s="68"/>
      <c r="Q368" s="68"/>
      <c r="R368" s="68">
        <f>4471.32246+53.54581</f>
        <v>4524.86827</v>
      </c>
      <c r="S368" s="68"/>
    </row>
    <row r="369" spans="1:19" s="25" customFormat="1" ht="25.5">
      <c r="A369" s="17"/>
      <c r="B369" s="63" t="s">
        <v>425</v>
      </c>
      <c r="C369" s="11"/>
      <c r="D369" s="84" t="s">
        <v>143</v>
      </c>
      <c r="E369" s="95">
        <f>E370+E372</f>
        <v>0</v>
      </c>
      <c r="F369" s="95">
        <f aca="true" t="shared" si="173" ref="F369:Q369">F370+F372</f>
        <v>500.2</v>
      </c>
      <c r="G369" s="95">
        <f t="shared" si="173"/>
        <v>0</v>
      </c>
      <c r="H369" s="95">
        <f t="shared" si="173"/>
        <v>0</v>
      </c>
      <c r="I369" s="95">
        <f t="shared" si="173"/>
        <v>0</v>
      </c>
      <c r="J369" s="95">
        <f t="shared" si="173"/>
        <v>0</v>
      </c>
      <c r="K369" s="95">
        <f t="shared" si="173"/>
        <v>0.3</v>
      </c>
      <c r="L369" s="95">
        <f t="shared" si="173"/>
        <v>0</v>
      </c>
      <c r="M369" s="95">
        <f t="shared" si="173"/>
        <v>0</v>
      </c>
      <c r="N369" s="169">
        <f t="shared" si="173"/>
        <v>499.9</v>
      </c>
      <c r="O369" s="95">
        <f t="shared" si="173"/>
        <v>0</v>
      </c>
      <c r="P369" s="95">
        <f t="shared" si="173"/>
        <v>0</v>
      </c>
      <c r="Q369" s="95">
        <f t="shared" si="173"/>
        <v>0</v>
      </c>
      <c r="R369" s="95">
        <f>R370+R372</f>
        <v>0</v>
      </c>
      <c r="S369" s="95">
        <f>S370+S372</f>
        <v>0</v>
      </c>
    </row>
    <row r="370" spans="1:19" s="25" customFormat="1" ht="12.75">
      <c r="A370" s="17"/>
      <c r="B370" s="66" t="s">
        <v>541</v>
      </c>
      <c r="C370" s="41"/>
      <c r="D370" s="67" t="s">
        <v>542</v>
      </c>
      <c r="E370" s="79">
        <f>E371</f>
        <v>0</v>
      </c>
      <c r="F370" s="79">
        <f aca="true" t="shared" si="174" ref="F370:S370">F371</f>
        <v>500.2</v>
      </c>
      <c r="G370" s="79">
        <f t="shared" si="174"/>
        <v>0</v>
      </c>
      <c r="H370" s="79">
        <f t="shared" si="174"/>
        <v>0</v>
      </c>
      <c r="I370" s="79">
        <f t="shared" si="174"/>
        <v>0</v>
      </c>
      <c r="J370" s="79">
        <f t="shared" si="174"/>
        <v>0</v>
      </c>
      <c r="K370" s="79">
        <f t="shared" si="174"/>
        <v>0.3</v>
      </c>
      <c r="L370" s="79">
        <f t="shared" si="174"/>
        <v>0</v>
      </c>
      <c r="M370" s="79">
        <f t="shared" si="174"/>
        <v>0</v>
      </c>
      <c r="N370" s="170">
        <f t="shared" si="174"/>
        <v>49.9</v>
      </c>
      <c r="O370" s="79">
        <f t="shared" si="174"/>
        <v>0</v>
      </c>
      <c r="P370" s="79">
        <f t="shared" si="174"/>
        <v>0</v>
      </c>
      <c r="Q370" s="79">
        <f t="shared" si="174"/>
        <v>0</v>
      </c>
      <c r="R370" s="79">
        <f t="shared" si="174"/>
        <v>450</v>
      </c>
      <c r="S370" s="79">
        <f t="shared" si="174"/>
        <v>0</v>
      </c>
    </row>
    <row r="371" spans="1:19" s="25" customFormat="1" ht="25.5">
      <c r="A371" s="17"/>
      <c r="B371" s="66"/>
      <c r="C371" s="41" t="s">
        <v>3</v>
      </c>
      <c r="D371" s="67" t="s">
        <v>95</v>
      </c>
      <c r="E371" s="79"/>
      <c r="F371" s="93">
        <f>E371+SUM(G371:S371)</f>
        <v>500.2</v>
      </c>
      <c r="G371" s="68"/>
      <c r="H371" s="68"/>
      <c r="I371" s="153"/>
      <c r="J371" s="69"/>
      <c r="K371" s="68">
        <v>0.3</v>
      </c>
      <c r="L371" s="70"/>
      <c r="M371" s="68"/>
      <c r="N371" s="168">
        <v>49.9</v>
      </c>
      <c r="O371" s="68"/>
      <c r="P371" s="68"/>
      <c r="Q371" s="68"/>
      <c r="R371" s="68">
        <v>450</v>
      </c>
      <c r="S371" s="68"/>
    </row>
    <row r="372" spans="1:19" s="25" customFormat="1" ht="12.75">
      <c r="A372" s="17"/>
      <c r="B372" s="66" t="s">
        <v>549</v>
      </c>
      <c r="C372" s="41"/>
      <c r="D372" s="67" t="s">
        <v>542</v>
      </c>
      <c r="E372" s="79">
        <f>E373</f>
        <v>0</v>
      </c>
      <c r="F372" s="79">
        <f aca="true" t="shared" si="175" ref="F372:S372">F373</f>
        <v>0</v>
      </c>
      <c r="G372" s="79">
        <f t="shared" si="175"/>
        <v>0</v>
      </c>
      <c r="H372" s="79">
        <f t="shared" si="175"/>
        <v>0</v>
      </c>
      <c r="I372" s="79">
        <f t="shared" si="175"/>
        <v>0</v>
      </c>
      <c r="J372" s="79">
        <f t="shared" si="175"/>
        <v>0</v>
      </c>
      <c r="K372" s="79">
        <f t="shared" si="175"/>
        <v>0</v>
      </c>
      <c r="L372" s="79">
        <f t="shared" si="175"/>
        <v>0</v>
      </c>
      <c r="M372" s="79">
        <f t="shared" si="175"/>
        <v>0</v>
      </c>
      <c r="N372" s="170">
        <f t="shared" si="175"/>
        <v>450</v>
      </c>
      <c r="O372" s="79">
        <f t="shared" si="175"/>
        <v>0</v>
      </c>
      <c r="P372" s="79">
        <f t="shared" si="175"/>
        <v>0</v>
      </c>
      <c r="Q372" s="79">
        <f t="shared" si="175"/>
        <v>0</v>
      </c>
      <c r="R372" s="79">
        <f t="shared" si="175"/>
        <v>-450</v>
      </c>
      <c r="S372" s="79">
        <f t="shared" si="175"/>
        <v>0</v>
      </c>
    </row>
    <row r="373" spans="1:19" s="25" customFormat="1" ht="25.5">
      <c r="A373" s="17"/>
      <c r="B373" s="66"/>
      <c r="C373" s="41" t="s">
        <v>3</v>
      </c>
      <c r="D373" s="67" t="s">
        <v>95</v>
      </c>
      <c r="E373" s="79"/>
      <c r="F373" s="93">
        <f>E373+SUM(G373:S373)</f>
        <v>0</v>
      </c>
      <c r="G373" s="68"/>
      <c r="H373" s="68"/>
      <c r="I373" s="153"/>
      <c r="J373" s="69"/>
      <c r="K373" s="68"/>
      <c r="L373" s="70"/>
      <c r="M373" s="68"/>
      <c r="N373" s="168">
        <f>450</f>
        <v>450</v>
      </c>
      <c r="O373" s="68"/>
      <c r="P373" s="68"/>
      <c r="Q373" s="68"/>
      <c r="R373" s="68">
        <v>-450</v>
      </c>
      <c r="S373" s="68"/>
    </row>
    <row r="374" spans="1:19" s="25" customFormat="1" ht="25.5" hidden="1">
      <c r="A374" s="11" t="s">
        <v>78</v>
      </c>
      <c r="B374" s="63"/>
      <c r="C374" s="11"/>
      <c r="D374" s="111" t="s">
        <v>79</v>
      </c>
      <c r="E374" s="95">
        <f>E375+E382</f>
        <v>12519.1</v>
      </c>
      <c r="F374" s="95">
        <f aca="true" t="shared" si="176" ref="F374:Q374">F375+F382</f>
        <v>13093</v>
      </c>
      <c r="G374" s="95">
        <f t="shared" si="176"/>
        <v>0</v>
      </c>
      <c r="H374" s="95">
        <f t="shared" si="176"/>
        <v>0</v>
      </c>
      <c r="I374" s="131">
        <f t="shared" si="176"/>
        <v>411.90000000000003</v>
      </c>
      <c r="J374" s="95">
        <f t="shared" si="176"/>
        <v>0</v>
      </c>
      <c r="K374" s="95">
        <f t="shared" si="176"/>
        <v>20</v>
      </c>
      <c r="L374" s="95">
        <f t="shared" si="176"/>
        <v>0</v>
      </c>
      <c r="M374" s="95">
        <f t="shared" si="176"/>
        <v>0</v>
      </c>
      <c r="N374" s="169">
        <f t="shared" si="176"/>
        <v>0</v>
      </c>
      <c r="O374" s="95">
        <f t="shared" si="176"/>
        <v>0</v>
      </c>
      <c r="P374" s="95">
        <f t="shared" si="176"/>
        <v>142</v>
      </c>
      <c r="Q374" s="95">
        <f t="shared" si="176"/>
        <v>0</v>
      </c>
      <c r="R374" s="95">
        <f>R375+R382</f>
        <v>0</v>
      </c>
      <c r="S374" s="95">
        <f>S375+S382</f>
        <v>0</v>
      </c>
    </row>
    <row r="375" spans="1:19" s="25" customFormat="1" ht="25.5" hidden="1">
      <c r="A375" s="17"/>
      <c r="B375" s="63" t="s">
        <v>324</v>
      </c>
      <c r="C375" s="11"/>
      <c r="D375" s="60" t="s">
        <v>129</v>
      </c>
      <c r="E375" s="94">
        <f aca="true" t="shared" si="177" ref="E375:S377">E376</f>
        <v>5111.2</v>
      </c>
      <c r="F375" s="94">
        <f t="shared" si="177"/>
        <v>5510.5</v>
      </c>
      <c r="G375" s="71">
        <f t="shared" si="177"/>
        <v>0</v>
      </c>
      <c r="H375" s="71">
        <f t="shared" si="177"/>
        <v>0</v>
      </c>
      <c r="I375" s="156">
        <f t="shared" si="177"/>
        <v>399.3</v>
      </c>
      <c r="J375" s="71">
        <f t="shared" si="177"/>
        <v>0</v>
      </c>
      <c r="K375" s="71">
        <f t="shared" si="177"/>
        <v>0</v>
      </c>
      <c r="L375" s="71">
        <f t="shared" si="177"/>
        <v>0</v>
      </c>
      <c r="M375" s="71">
        <f t="shared" si="177"/>
        <v>0</v>
      </c>
      <c r="N375" s="174">
        <f t="shared" si="177"/>
        <v>0</v>
      </c>
      <c r="O375" s="71">
        <f t="shared" si="177"/>
        <v>0</v>
      </c>
      <c r="P375" s="71">
        <f t="shared" si="177"/>
        <v>0</v>
      </c>
      <c r="Q375" s="71">
        <f t="shared" si="177"/>
        <v>0</v>
      </c>
      <c r="R375" s="71">
        <f t="shared" si="177"/>
        <v>0</v>
      </c>
      <c r="S375" s="71">
        <f t="shared" si="177"/>
        <v>0</v>
      </c>
    </row>
    <row r="376" spans="1:19" s="25" customFormat="1" ht="51" hidden="1">
      <c r="A376" s="17"/>
      <c r="B376" s="82" t="s">
        <v>335</v>
      </c>
      <c r="C376" s="41"/>
      <c r="D376" s="104" t="s">
        <v>132</v>
      </c>
      <c r="E376" s="79">
        <f t="shared" si="177"/>
        <v>5111.2</v>
      </c>
      <c r="F376" s="79">
        <f t="shared" si="177"/>
        <v>5510.5</v>
      </c>
      <c r="G376" s="68">
        <f t="shared" si="177"/>
        <v>0</v>
      </c>
      <c r="H376" s="68">
        <f t="shared" si="177"/>
        <v>0</v>
      </c>
      <c r="I376" s="70">
        <f t="shared" si="177"/>
        <v>399.3</v>
      </c>
      <c r="J376" s="68">
        <f t="shared" si="177"/>
        <v>0</v>
      </c>
      <c r="K376" s="68">
        <f t="shared" si="177"/>
        <v>0</v>
      </c>
      <c r="L376" s="68">
        <f t="shared" si="177"/>
        <v>0</v>
      </c>
      <c r="M376" s="68">
        <f t="shared" si="177"/>
        <v>0</v>
      </c>
      <c r="N376" s="168">
        <f t="shared" si="177"/>
        <v>0</v>
      </c>
      <c r="O376" s="68">
        <f t="shared" si="177"/>
        <v>0</v>
      </c>
      <c r="P376" s="68">
        <f t="shared" si="177"/>
        <v>0</v>
      </c>
      <c r="Q376" s="68">
        <f t="shared" si="177"/>
        <v>0</v>
      </c>
      <c r="R376" s="68">
        <f t="shared" si="177"/>
        <v>0</v>
      </c>
      <c r="S376" s="68">
        <f t="shared" si="177"/>
        <v>0</v>
      </c>
    </row>
    <row r="377" spans="1:19" s="25" customFormat="1" ht="25.5" hidden="1">
      <c r="A377" s="17"/>
      <c r="B377" s="66" t="s">
        <v>336</v>
      </c>
      <c r="C377" s="41"/>
      <c r="D377" s="57" t="s">
        <v>338</v>
      </c>
      <c r="E377" s="79">
        <f t="shared" si="177"/>
        <v>5111.2</v>
      </c>
      <c r="F377" s="79">
        <f t="shared" si="177"/>
        <v>5510.5</v>
      </c>
      <c r="G377" s="68">
        <f t="shared" si="177"/>
        <v>0</v>
      </c>
      <c r="H377" s="68">
        <f t="shared" si="177"/>
        <v>0</v>
      </c>
      <c r="I377" s="70">
        <f t="shared" si="177"/>
        <v>399.3</v>
      </c>
      <c r="J377" s="68">
        <f t="shared" si="177"/>
        <v>0</v>
      </c>
      <c r="K377" s="68">
        <f t="shared" si="177"/>
        <v>0</v>
      </c>
      <c r="L377" s="68">
        <f t="shared" si="177"/>
        <v>0</v>
      </c>
      <c r="M377" s="68">
        <f t="shared" si="177"/>
        <v>0</v>
      </c>
      <c r="N377" s="168">
        <f t="shared" si="177"/>
        <v>0</v>
      </c>
      <c r="O377" s="68">
        <f t="shared" si="177"/>
        <v>0</v>
      </c>
      <c r="P377" s="68">
        <f t="shared" si="177"/>
        <v>0</v>
      </c>
      <c r="Q377" s="68">
        <f t="shared" si="177"/>
        <v>0</v>
      </c>
      <c r="R377" s="68">
        <f t="shared" si="177"/>
        <v>0</v>
      </c>
      <c r="S377" s="68">
        <f t="shared" si="177"/>
        <v>0</v>
      </c>
    </row>
    <row r="378" spans="1:19" s="25" customFormat="1" ht="25.5" hidden="1">
      <c r="A378" s="17"/>
      <c r="B378" s="66" t="s">
        <v>337</v>
      </c>
      <c r="C378" s="41"/>
      <c r="D378" s="57" t="s">
        <v>278</v>
      </c>
      <c r="E378" s="79">
        <f>E379+E380+E381</f>
        <v>5111.2</v>
      </c>
      <c r="F378" s="79">
        <f aca="true" t="shared" si="178" ref="F378:Q378">F379+F380+F381</f>
        <v>5510.5</v>
      </c>
      <c r="G378" s="68">
        <f t="shared" si="178"/>
        <v>0</v>
      </c>
      <c r="H378" s="68">
        <f t="shared" si="178"/>
        <v>0</v>
      </c>
      <c r="I378" s="70">
        <f t="shared" si="178"/>
        <v>399.3</v>
      </c>
      <c r="J378" s="68">
        <f t="shared" si="178"/>
        <v>0</v>
      </c>
      <c r="K378" s="68">
        <f t="shared" si="178"/>
        <v>0</v>
      </c>
      <c r="L378" s="68">
        <f t="shared" si="178"/>
        <v>0</v>
      </c>
      <c r="M378" s="68">
        <f t="shared" si="178"/>
        <v>0</v>
      </c>
      <c r="N378" s="168">
        <f t="shared" si="178"/>
        <v>0</v>
      </c>
      <c r="O378" s="68">
        <f t="shared" si="178"/>
        <v>0</v>
      </c>
      <c r="P378" s="68">
        <f t="shared" si="178"/>
        <v>0</v>
      </c>
      <c r="Q378" s="68">
        <f t="shared" si="178"/>
        <v>0</v>
      </c>
      <c r="R378" s="68">
        <f>R379+R380+R381</f>
        <v>0</v>
      </c>
      <c r="S378" s="68">
        <f>S379+S380+S381</f>
        <v>0</v>
      </c>
    </row>
    <row r="379" spans="1:19" s="25" customFormat="1" ht="51" hidden="1">
      <c r="A379" s="17"/>
      <c r="B379" s="66"/>
      <c r="C379" s="41" t="s">
        <v>2</v>
      </c>
      <c r="D379" s="67" t="s">
        <v>94</v>
      </c>
      <c r="E379" s="68">
        <f>4056.2</f>
        <v>4056.2</v>
      </c>
      <c r="F379" s="93">
        <f>E379+SUM(G379:Q379)</f>
        <v>4455.5</v>
      </c>
      <c r="G379" s="68"/>
      <c r="H379" s="68"/>
      <c r="I379" s="153">
        <v>399.3</v>
      </c>
      <c r="J379" s="69"/>
      <c r="K379" s="68"/>
      <c r="L379" s="68"/>
      <c r="M379" s="68"/>
      <c r="N379" s="168"/>
      <c r="O379" s="68"/>
      <c r="P379" s="68"/>
      <c r="Q379" s="68"/>
      <c r="R379" s="68"/>
      <c r="S379" s="68"/>
    </row>
    <row r="380" spans="1:19" s="25" customFormat="1" ht="26.25" customHeight="1" hidden="1">
      <c r="A380" s="17"/>
      <c r="B380" s="66"/>
      <c r="C380" s="41" t="s">
        <v>3</v>
      </c>
      <c r="D380" s="67" t="s">
        <v>95</v>
      </c>
      <c r="E380" s="68">
        <f>1054.3</f>
        <v>1054.3</v>
      </c>
      <c r="F380" s="93">
        <f>E380+SUM(G380:Q380)</f>
        <v>1052.3</v>
      </c>
      <c r="G380" s="68"/>
      <c r="H380" s="68"/>
      <c r="I380" s="153"/>
      <c r="J380" s="69"/>
      <c r="K380" s="68">
        <v>-2</v>
      </c>
      <c r="L380" s="68"/>
      <c r="M380" s="68"/>
      <c r="N380" s="168"/>
      <c r="O380" s="68"/>
      <c r="P380" s="68"/>
      <c r="Q380" s="68"/>
      <c r="R380" s="68"/>
      <c r="S380" s="68"/>
    </row>
    <row r="381" spans="1:19" s="25" customFormat="1" ht="21" customHeight="1" hidden="1">
      <c r="A381" s="17"/>
      <c r="B381" s="66"/>
      <c r="C381" s="41" t="s">
        <v>4</v>
      </c>
      <c r="D381" s="67" t="s">
        <v>5</v>
      </c>
      <c r="E381" s="68">
        <f>0.7</f>
        <v>0.7</v>
      </c>
      <c r="F381" s="93">
        <f>E381+SUM(G381:Q381)</f>
        <v>2.7</v>
      </c>
      <c r="G381" s="68"/>
      <c r="H381" s="68"/>
      <c r="I381" s="153"/>
      <c r="J381" s="69"/>
      <c r="K381" s="68">
        <v>2</v>
      </c>
      <c r="L381" s="68"/>
      <c r="M381" s="68"/>
      <c r="N381" s="168"/>
      <c r="O381" s="68"/>
      <c r="P381" s="68"/>
      <c r="Q381" s="68"/>
      <c r="R381" s="68"/>
      <c r="S381" s="68"/>
    </row>
    <row r="382" spans="1:19" s="25" customFormat="1" ht="38.25" hidden="1">
      <c r="A382" s="17"/>
      <c r="B382" s="63" t="s">
        <v>372</v>
      </c>
      <c r="C382" s="11"/>
      <c r="D382" s="84" t="s">
        <v>137</v>
      </c>
      <c r="E382" s="95">
        <f aca="true" t="shared" si="179" ref="E382:Q382">E390+E383</f>
        <v>7407.900000000001</v>
      </c>
      <c r="F382" s="95">
        <f t="shared" si="179"/>
        <v>7582.500000000001</v>
      </c>
      <c r="G382" s="95">
        <f t="shared" si="179"/>
        <v>0</v>
      </c>
      <c r="H382" s="95">
        <f t="shared" si="179"/>
        <v>0</v>
      </c>
      <c r="I382" s="131">
        <f t="shared" si="179"/>
        <v>12.6</v>
      </c>
      <c r="J382" s="95">
        <f t="shared" si="179"/>
        <v>0</v>
      </c>
      <c r="K382" s="95">
        <f t="shared" si="179"/>
        <v>20</v>
      </c>
      <c r="L382" s="95">
        <f t="shared" si="179"/>
        <v>0</v>
      </c>
      <c r="M382" s="95">
        <f t="shared" si="179"/>
        <v>0</v>
      </c>
      <c r="N382" s="169">
        <f t="shared" si="179"/>
        <v>0</v>
      </c>
      <c r="O382" s="95">
        <f t="shared" si="179"/>
        <v>0</v>
      </c>
      <c r="P382" s="95">
        <f t="shared" si="179"/>
        <v>142</v>
      </c>
      <c r="Q382" s="95">
        <f t="shared" si="179"/>
        <v>0</v>
      </c>
      <c r="R382" s="95">
        <f>R390+R383</f>
        <v>0</v>
      </c>
      <c r="S382" s="95">
        <f>S390+S383</f>
        <v>0</v>
      </c>
    </row>
    <row r="383" spans="1:19" s="25" customFormat="1" ht="25.5" hidden="1">
      <c r="A383" s="17"/>
      <c r="B383" s="82" t="s">
        <v>393</v>
      </c>
      <c r="C383" s="41"/>
      <c r="D383" s="85" t="s">
        <v>140</v>
      </c>
      <c r="E383" s="79">
        <f>E384</f>
        <v>0</v>
      </c>
      <c r="F383" s="79">
        <f aca="true" t="shared" si="180" ref="F383:S383">F384</f>
        <v>0</v>
      </c>
      <c r="G383" s="79">
        <f t="shared" si="180"/>
        <v>0</v>
      </c>
      <c r="H383" s="79">
        <f t="shared" si="180"/>
        <v>0</v>
      </c>
      <c r="I383" s="96">
        <f t="shared" si="180"/>
        <v>0</v>
      </c>
      <c r="J383" s="79">
        <f t="shared" si="180"/>
        <v>0</v>
      </c>
      <c r="K383" s="79">
        <f t="shared" si="180"/>
        <v>0</v>
      </c>
      <c r="L383" s="79">
        <f t="shared" si="180"/>
        <v>0</v>
      </c>
      <c r="M383" s="79">
        <f t="shared" si="180"/>
        <v>0</v>
      </c>
      <c r="N383" s="170">
        <f t="shared" si="180"/>
        <v>0</v>
      </c>
      <c r="O383" s="79">
        <f t="shared" si="180"/>
        <v>0</v>
      </c>
      <c r="P383" s="79">
        <f t="shared" si="180"/>
        <v>0</v>
      </c>
      <c r="Q383" s="79">
        <f t="shared" si="180"/>
        <v>0</v>
      </c>
      <c r="R383" s="79">
        <f t="shared" si="180"/>
        <v>0</v>
      </c>
      <c r="S383" s="79">
        <f t="shared" si="180"/>
        <v>0</v>
      </c>
    </row>
    <row r="384" spans="1:19" s="25" customFormat="1" ht="12.75" hidden="1">
      <c r="A384" s="17"/>
      <c r="B384" s="66" t="s">
        <v>404</v>
      </c>
      <c r="C384" s="41"/>
      <c r="D384" s="83" t="s">
        <v>406</v>
      </c>
      <c r="E384" s="79">
        <f aca="true" t="shared" si="181" ref="E384:Q384">E385+E387</f>
        <v>0</v>
      </c>
      <c r="F384" s="79">
        <f t="shared" si="181"/>
        <v>0</v>
      </c>
      <c r="G384" s="79">
        <f t="shared" si="181"/>
        <v>0</v>
      </c>
      <c r="H384" s="79">
        <f t="shared" si="181"/>
        <v>0</v>
      </c>
      <c r="I384" s="96">
        <f t="shared" si="181"/>
        <v>0</v>
      </c>
      <c r="J384" s="79">
        <f t="shared" si="181"/>
        <v>0</v>
      </c>
      <c r="K384" s="79">
        <f t="shared" si="181"/>
        <v>0</v>
      </c>
      <c r="L384" s="79">
        <f t="shared" si="181"/>
        <v>0</v>
      </c>
      <c r="M384" s="79">
        <f t="shared" si="181"/>
        <v>0</v>
      </c>
      <c r="N384" s="170">
        <f t="shared" si="181"/>
        <v>0</v>
      </c>
      <c r="O384" s="79">
        <f t="shared" si="181"/>
        <v>0</v>
      </c>
      <c r="P384" s="79">
        <f t="shared" si="181"/>
        <v>0</v>
      </c>
      <c r="Q384" s="79">
        <f t="shared" si="181"/>
        <v>0</v>
      </c>
      <c r="R384" s="79">
        <f>R385+R387</f>
        <v>0</v>
      </c>
      <c r="S384" s="79">
        <f>S385+S387</f>
        <v>0</v>
      </c>
    </row>
    <row r="385" spans="1:19" s="25" customFormat="1" ht="51" hidden="1">
      <c r="A385" s="17"/>
      <c r="B385" s="66" t="s">
        <v>472</v>
      </c>
      <c r="C385" s="41"/>
      <c r="D385" s="67" t="s">
        <v>474</v>
      </c>
      <c r="E385" s="79">
        <f>E386</f>
        <v>0</v>
      </c>
      <c r="F385" s="79">
        <f aca="true" t="shared" si="182" ref="F385:S385">F386</f>
        <v>0</v>
      </c>
      <c r="G385" s="79">
        <f t="shared" si="182"/>
        <v>0</v>
      </c>
      <c r="H385" s="79">
        <f t="shared" si="182"/>
        <v>0</v>
      </c>
      <c r="I385" s="96">
        <f t="shared" si="182"/>
        <v>0</v>
      </c>
      <c r="J385" s="79">
        <f t="shared" si="182"/>
        <v>0</v>
      </c>
      <c r="K385" s="79">
        <f t="shared" si="182"/>
        <v>0</v>
      </c>
      <c r="L385" s="79">
        <f t="shared" si="182"/>
        <v>0</v>
      </c>
      <c r="M385" s="79">
        <f t="shared" si="182"/>
        <v>0</v>
      </c>
      <c r="N385" s="170">
        <f t="shared" si="182"/>
        <v>0</v>
      </c>
      <c r="O385" s="79">
        <f t="shared" si="182"/>
        <v>0</v>
      </c>
      <c r="P385" s="79">
        <f t="shared" si="182"/>
        <v>0</v>
      </c>
      <c r="Q385" s="79">
        <f t="shared" si="182"/>
        <v>0</v>
      </c>
      <c r="R385" s="79">
        <f t="shared" si="182"/>
        <v>0</v>
      </c>
      <c r="S385" s="79">
        <f t="shared" si="182"/>
        <v>0</v>
      </c>
    </row>
    <row r="386" spans="1:19" s="25" customFormat="1" ht="25.5" hidden="1">
      <c r="A386" s="17"/>
      <c r="B386" s="66"/>
      <c r="C386" s="41" t="s">
        <v>3</v>
      </c>
      <c r="D386" s="67" t="s">
        <v>95</v>
      </c>
      <c r="E386" s="79"/>
      <c r="F386" s="93">
        <f>E386+SUM(G386:Q386)</f>
        <v>0</v>
      </c>
      <c r="G386" s="68"/>
      <c r="H386" s="68"/>
      <c r="I386" s="70"/>
      <c r="J386" s="68"/>
      <c r="K386" s="68"/>
      <c r="L386" s="73"/>
      <c r="M386" s="68"/>
      <c r="N386" s="123"/>
      <c r="O386" s="73"/>
      <c r="P386" s="73"/>
      <c r="Q386" s="73"/>
      <c r="R386" s="73"/>
      <c r="S386" s="73"/>
    </row>
    <row r="387" spans="1:19" s="25" customFormat="1" ht="63.75" hidden="1">
      <c r="A387" s="17"/>
      <c r="B387" s="66" t="s">
        <v>471</v>
      </c>
      <c r="C387" s="41"/>
      <c r="D387" s="67" t="s">
        <v>473</v>
      </c>
      <c r="E387" s="79">
        <f>E389+E388</f>
        <v>0</v>
      </c>
      <c r="F387" s="79">
        <f aca="true" t="shared" si="183" ref="F387:Q387">F389+F388</f>
        <v>0</v>
      </c>
      <c r="G387" s="79">
        <f t="shared" si="183"/>
        <v>0</v>
      </c>
      <c r="H387" s="79">
        <f t="shared" si="183"/>
        <v>0</v>
      </c>
      <c r="I387" s="96">
        <f t="shared" si="183"/>
        <v>0</v>
      </c>
      <c r="J387" s="79">
        <f t="shared" si="183"/>
        <v>0</v>
      </c>
      <c r="K387" s="79">
        <f t="shared" si="183"/>
        <v>0</v>
      </c>
      <c r="L387" s="79">
        <f t="shared" si="183"/>
        <v>0</v>
      </c>
      <c r="M387" s="79">
        <f t="shared" si="183"/>
        <v>0</v>
      </c>
      <c r="N387" s="170">
        <f t="shared" si="183"/>
        <v>0</v>
      </c>
      <c r="O387" s="79">
        <f t="shared" si="183"/>
        <v>0</v>
      </c>
      <c r="P387" s="79">
        <f t="shared" si="183"/>
        <v>0</v>
      </c>
      <c r="Q387" s="79">
        <f t="shared" si="183"/>
        <v>0</v>
      </c>
      <c r="R387" s="79">
        <f>R389+R388</f>
        <v>0</v>
      </c>
      <c r="S387" s="79">
        <f>S389+S388</f>
        <v>0</v>
      </c>
    </row>
    <row r="388" spans="1:19" s="25" customFormat="1" ht="51" hidden="1">
      <c r="A388" s="17"/>
      <c r="B388" s="66"/>
      <c r="C388" s="41" t="s">
        <v>2</v>
      </c>
      <c r="D388" s="67" t="s">
        <v>94</v>
      </c>
      <c r="E388" s="79"/>
      <c r="F388" s="93">
        <f>E388+SUM(G388:Q388)</f>
        <v>0</v>
      </c>
      <c r="G388" s="79"/>
      <c r="H388" s="79"/>
      <c r="I388" s="96"/>
      <c r="J388" s="79"/>
      <c r="K388" s="79"/>
      <c r="L388" s="73"/>
      <c r="M388" s="68"/>
      <c r="N388" s="123"/>
      <c r="O388" s="73"/>
      <c r="P388" s="73"/>
      <c r="Q388" s="73"/>
      <c r="R388" s="73"/>
      <c r="S388" s="73"/>
    </row>
    <row r="389" spans="1:19" s="25" customFormat="1" ht="25.5" hidden="1">
      <c r="A389" s="17"/>
      <c r="B389" s="66"/>
      <c r="C389" s="41" t="s">
        <v>3</v>
      </c>
      <c r="D389" s="67" t="s">
        <v>95</v>
      </c>
      <c r="E389" s="79"/>
      <c r="F389" s="93">
        <f>E389+SUM(G389:Q389)</f>
        <v>0</v>
      </c>
      <c r="G389" s="68"/>
      <c r="H389" s="68"/>
      <c r="I389" s="70"/>
      <c r="J389" s="68"/>
      <c r="K389" s="68"/>
      <c r="L389" s="73"/>
      <c r="M389" s="68"/>
      <c r="N389" s="123"/>
      <c r="O389" s="73"/>
      <c r="P389" s="73"/>
      <c r="Q389" s="73"/>
      <c r="R389" s="73"/>
      <c r="S389" s="73"/>
    </row>
    <row r="390" spans="1:19" s="25" customFormat="1" ht="38.25" hidden="1">
      <c r="A390" s="17"/>
      <c r="B390" s="82" t="s">
        <v>410</v>
      </c>
      <c r="C390" s="41"/>
      <c r="D390" s="85" t="s">
        <v>141</v>
      </c>
      <c r="E390" s="79">
        <f>E391</f>
        <v>7407.900000000001</v>
      </c>
      <c r="F390" s="79">
        <f aca="true" t="shared" si="184" ref="F390:S391">F391</f>
        <v>7582.500000000001</v>
      </c>
      <c r="G390" s="68">
        <f t="shared" si="184"/>
        <v>0</v>
      </c>
      <c r="H390" s="68">
        <f t="shared" si="184"/>
        <v>0</v>
      </c>
      <c r="I390" s="70">
        <f t="shared" si="184"/>
        <v>12.6</v>
      </c>
      <c r="J390" s="68">
        <f t="shared" si="184"/>
        <v>0</v>
      </c>
      <c r="K390" s="68">
        <f t="shared" si="184"/>
        <v>20</v>
      </c>
      <c r="L390" s="68">
        <f t="shared" si="184"/>
        <v>0</v>
      </c>
      <c r="M390" s="68">
        <f t="shared" si="184"/>
        <v>0</v>
      </c>
      <c r="N390" s="168">
        <f t="shared" si="184"/>
        <v>0</v>
      </c>
      <c r="O390" s="68">
        <f t="shared" si="184"/>
        <v>0</v>
      </c>
      <c r="P390" s="68">
        <f t="shared" si="184"/>
        <v>142</v>
      </c>
      <c r="Q390" s="68">
        <f t="shared" si="184"/>
        <v>0</v>
      </c>
      <c r="R390" s="68">
        <f t="shared" si="184"/>
        <v>0</v>
      </c>
      <c r="S390" s="68">
        <f t="shared" si="184"/>
        <v>0</v>
      </c>
    </row>
    <row r="391" spans="1:19" s="25" customFormat="1" ht="25.5" hidden="1">
      <c r="A391" s="17"/>
      <c r="B391" s="66" t="s">
        <v>411</v>
      </c>
      <c r="C391" s="41"/>
      <c r="D391" s="57" t="s">
        <v>338</v>
      </c>
      <c r="E391" s="79">
        <f>E392</f>
        <v>7407.900000000001</v>
      </c>
      <c r="F391" s="79">
        <f t="shared" si="184"/>
        <v>7582.500000000001</v>
      </c>
      <c r="G391" s="68">
        <f t="shared" si="184"/>
        <v>0</v>
      </c>
      <c r="H391" s="68">
        <f t="shared" si="184"/>
        <v>0</v>
      </c>
      <c r="I391" s="70">
        <f t="shared" si="184"/>
        <v>12.6</v>
      </c>
      <c r="J391" s="68">
        <f t="shared" si="184"/>
        <v>0</v>
      </c>
      <c r="K391" s="68">
        <f t="shared" si="184"/>
        <v>20</v>
      </c>
      <c r="L391" s="68">
        <f t="shared" si="184"/>
        <v>0</v>
      </c>
      <c r="M391" s="68">
        <f t="shared" si="184"/>
        <v>0</v>
      </c>
      <c r="N391" s="168">
        <f t="shared" si="184"/>
        <v>0</v>
      </c>
      <c r="O391" s="68">
        <f t="shared" si="184"/>
        <v>0</v>
      </c>
      <c r="P391" s="68">
        <f t="shared" si="184"/>
        <v>142</v>
      </c>
      <c r="Q391" s="68">
        <f t="shared" si="184"/>
        <v>0</v>
      </c>
      <c r="R391" s="68">
        <f t="shared" si="184"/>
        <v>0</v>
      </c>
      <c r="S391" s="68">
        <f t="shared" si="184"/>
        <v>0</v>
      </c>
    </row>
    <row r="392" spans="1:19" s="25" customFormat="1" ht="25.5" hidden="1">
      <c r="A392" s="17"/>
      <c r="B392" s="66" t="s">
        <v>412</v>
      </c>
      <c r="C392" s="41"/>
      <c r="D392" s="57" t="s">
        <v>278</v>
      </c>
      <c r="E392" s="79">
        <f>E393+E394+E395</f>
        <v>7407.900000000001</v>
      </c>
      <c r="F392" s="79">
        <f aca="true" t="shared" si="185" ref="F392:Q392">F393+F394+F395</f>
        <v>7582.500000000001</v>
      </c>
      <c r="G392" s="68">
        <f t="shared" si="185"/>
        <v>0</v>
      </c>
      <c r="H392" s="68">
        <f t="shared" si="185"/>
        <v>0</v>
      </c>
      <c r="I392" s="70">
        <f t="shared" si="185"/>
        <v>12.6</v>
      </c>
      <c r="J392" s="68">
        <f t="shared" si="185"/>
        <v>0</v>
      </c>
      <c r="K392" s="68">
        <f t="shared" si="185"/>
        <v>20</v>
      </c>
      <c r="L392" s="68">
        <f t="shared" si="185"/>
        <v>0</v>
      </c>
      <c r="M392" s="68">
        <f t="shared" si="185"/>
        <v>0</v>
      </c>
      <c r="N392" s="168">
        <f t="shared" si="185"/>
        <v>0</v>
      </c>
      <c r="O392" s="68">
        <f t="shared" si="185"/>
        <v>0</v>
      </c>
      <c r="P392" s="68">
        <f t="shared" si="185"/>
        <v>142</v>
      </c>
      <c r="Q392" s="68">
        <f t="shared" si="185"/>
        <v>0</v>
      </c>
      <c r="R392" s="68">
        <f>R393+R394+R395</f>
        <v>0</v>
      </c>
      <c r="S392" s="68">
        <f>S393+S394+S395</f>
        <v>0</v>
      </c>
    </row>
    <row r="393" spans="1:19" s="25" customFormat="1" ht="51" hidden="1">
      <c r="A393" s="17"/>
      <c r="B393" s="66"/>
      <c r="C393" s="41" t="s">
        <v>2</v>
      </c>
      <c r="D393" s="67" t="s">
        <v>94</v>
      </c>
      <c r="E393" s="79">
        <f>6489.1</f>
        <v>6489.1</v>
      </c>
      <c r="F393" s="93">
        <f>E393+SUM(G393:Q393)</f>
        <v>6578.700000000001</v>
      </c>
      <c r="G393" s="68"/>
      <c r="H393" s="68"/>
      <c r="I393" s="153">
        <f>12.6</f>
        <v>12.6</v>
      </c>
      <c r="J393" s="69"/>
      <c r="K393" s="68"/>
      <c r="L393" s="68"/>
      <c r="M393" s="68"/>
      <c r="N393" s="168"/>
      <c r="O393" s="68"/>
      <c r="P393" s="68">
        <v>77</v>
      </c>
      <c r="Q393" s="68"/>
      <c r="R393" s="68"/>
      <c r="S393" s="68"/>
    </row>
    <row r="394" spans="1:19" s="25" customFormat="1" ht="25.5" hidden="1">
      <c r="A394" s="17"/>
      <c r="B394" s="63"/>
      <c r="C394" s="41" t="s">
        <v>3</v>
      </c>
      <c r="D394" s="67" t="s">
        <v>95</v>
      </c>
      <c r="E394" s="79">
        <f>904.6</f>
        <v>904.6</v>
      </c>
      <c r="F394" s="93">
        <f>E394+SUM(G394:Q394)</f>
        <v>904.6</v>
      </c>
      <c r="G394" s="68"/>
      <c r="H394" s="68"/>
      <c r="I394" s="153"/>
      <c r="J394" s="69"/>
      <c r="K394" s="68"/>
      <c r="L394" s="68"/>
      <c r="M394" s="68"/>
      <c r="N394" s="168"/>
      <c r="O394" s="68"/>
      <c r="P394" s="68"/>
      <c r="Q394" s="68"/>
      <c r="R394" s="68"/>
      <c r="S394" s="68"/>
    </row>
    <row r="395" spans="1:19" s="25" customFormat="1" ht="12.75" hidden="1">
      <c r="A395" s="17"/>
      <c r="B395" s="66"/>
      <c r="C395" s="41" t="s">
        <v>4</v>
      </c>
      <c r="D395" s="67" t="s">
        <v>5</v>
      </c>
      <c r="E395" s="79">
        <f>14.2</f>
        <v>14.2</v>
      </c>
      <c r="F395" s="93">
        <f>E395+SUM(G395:Q395)</f>
        <v>99.2</v>
      </c>
      <c r="G395" s="68"/>
      <c r="H395" s="68"/>
      <c r="I395" s="153"/>
      <c r="J395" s="69"/>
      <c r="K395" s="68">
        <v>20</v>
      </c>
      <c r="L395" s="70"/>
      <c r="M395" s="68"/>
      <c r="N395" s="168"/>
      <c r="O395" s="68"/>
      <c r="P395" s="68">
        <v>65</v>
      </c>
      <c r="Q395" s="68"/>
      <c r="R395" s="68"/>
      <c r="S395" s="68"/>
    </row>
    <row r="396" spans="1:19" s="25" customFormat="1" ht="12" hidden="1">
      <c r="A396" s="5" t="s">
        <v>67</v>
      </c>
      <c r="B396" s="5"/>
      <c r="C396" s="5"/>
      <c r="D396" s="13" t="s">
        <v>68</v>
      </c>
      <c r="E396" s="119">
        <f aca="true" t="shared" si="186" ref="E396:Q396">E397+E415</f>
        <v>5943.799999999999</v>
      </c>
      <c r="F396" s="119">
        <f t="shared" si="186"/>
        <v>6255.115</v>
      </c>
      <c r="G396" s="26">
        <f t="shared" si="186"/>
        <v>0</v>
      </c>
      <c r="H396" s="26">
        <f t="shared" si="186"/>
        <v>0</v>
      </c>
      <c r="I396" s="158">
        <f t="shared" si="186"/>
        <v>390.1</v>
      </c>
      <c r="J396" s="26">
        <f t="shared" si="186"/>
        <v>0</v>
      </c>
      <c r="K396" s="26">
        <f t="shared" si="186"/>
        <v>0</v>
      </c>
      <c r="L396" s="26">
        <f t="shared" si="186"/>
        <v>30</v>
      </c>
      <c r="M396" s="26">
        <f t="shared" si="186"/>
        <v>0</v>
      </c>
      <c r="N396" s="176">
        <f t="shared" si="186"/>
        <v>0</v>
      </c>
      <c r="O396" s="26">
        <f t="shared" si="186"/>
        <v>-3.785</v>
      </c>
      <c r="P396" s="26">
        <f t="shared" si="186"/>
        <v>-105</v>
      </c>
      <c r="Q396" s="26">
        <f t="shared" si="186"/>
        <v>0</v>
      </c>
      <c r="R396" s="26">
        <f>R397+R415</f>
        <v>0</v>
      </c>
      <c r="S396" s="26">
        <f>S397+S415</f>
        <v>0</v>
      </c>
    </row>
    <row r="397" spans="1:19" s="25" customFormat="1" ht="12" hidden="1">
      <c r="A397" s="5" t="s">
        <v>69</v>
      </c>
      <c r="B397" s="16"/>
      <c r="C397" s="5"/>
      <c r="D397" s="20" t="s">
        <v>70</v>
      </c>
      <c r="E397" s="119">
        <f aca="true" t="shared" si="187" ref="E397:S397">E398</f>
        <v>4415.4</v>
      </c>
      <c r="F397" s="119">
        <f t="shared" si="187"/>
        <v>4598.115</v>
      </c>
      <c r="G397" s="26">
        <f t="shared" si="187"/>
        <v>0</v>
      </c>
      <c r="H397" s="26">
        <f t="shared" si="187"/>
        <v>0</v>
      </c>
      <c r="I397" s="158">
        <f t="shared" si="187"/>
        <v>261.5</v>
      </c>
      <c r="J397" s="26">
        <f t="shared" si="187"/>
        <v>0</v>
      </c>
      <c r="K397" s="26">
        <f t="shared" si="187"/>
        <v>0</v>
      </c>
      <c r="L397" s="26">
        <f t="shared" si="187"/>
        <v>30</v>
      </c>
      <c r="M397" s="26">
        <f t="shared" si="187"/>
        <v>0</v>
      </c>
      <c r="N397" s="176">
        <f t="shared" si="187"/>
        <v>0</v>
      </c>
      <c r="O397" s="26">
        <f t="shared" si="187"/>
        <v>-3.785</v>
      </c>
      <c r="P397" s="26">
        <f t="shared" si="187"/>
        <v>-105</v>
      </c>
      <c r="Q397" s="26">
        <f t="shared" si="187"/>
        <v>0</v>
      </c>
      <c r="R397" s="26">
        <f t="shared" si="187"/>
        <v>0</v>
      </c>
      <c r="S397" s="26">
        <f t="shared" si="187"/>
        <v>0</v>
      </c>
    </row>
    <row r="398" spans="1:19" s="25" customFormat="1" ht="64.5" customHeight="1" hidden="1">
      <c r="A398" s="5"/>
      <c r="B398" s="63" t="s">
        <v>273</v>
      </c>
      <c r="C398" s="11"/>
      <c r="D398" s="60" t="s">
        <v>123</v>
      </c>
      <c r="E398" s="95">
        <f aca="true" t="shared" si="188" ref="E398:Q398">E399+E409</f>
        <v>4415.4</v>
      </c>
      <c r="F398" s="95">
        <f t="shared" si="188"/>
        <v>4598.115</v>
      </c>
      <c r="G398" s="73">
        <f t="shared" si="188"/>
        <v>0</v>
      </c>
      <c r="H398" s="73">
        <f t="shared" si="188"/>
        <v>0</v>
      </c>
      <c r="I398" s="77">
        <f t="shared" si="188"/>
        <v>261.5</v>
      </c>
      <c r="J398" s="73">
        <f t="shared" si="188"/>
        <v>0</v>
      </c>
      <c r="K398" s="73">
        <f t="shared" si="188"/>
        <v>0</v>
      </c>
      <c r="L398" s="73">
        <f t="shared" si="188"/>
        <v>30</v>
      </c>
      <c r="M398" s="73">
        <f t="shared" si="188"/>
        <v>0</v>
      </c>
      <c r="N398" s="123">
        <f t="shared" si="188"/>
        <v>0</v>
      </c>
      <c r="O398" s="73">
        <f t="shared" si="188"/>
        <v>-3.785</v>
      </c>
      <c r="P398" s="73">
        <f t="shared" si="188"/>
        <v>-105</v>
      </c>
      <c r="Q398" s="73">
        <f t="shared" si="188"/>
        <v>0</v>
      </c>
      <c r="R398" s="73">
        <f>R399+R409</f>
        <v>0</v>
      </c>
      <c r="S398" s="73">
        <f>S399+S409</f>
        <v>0</v>
      </c>
    </row>
    <row r="399" spans="1:20" s="25" customFormat="1" ht="25.5" hidden="1">
      <c r="A399" s="5"/>
      <c r="B399" s="82" t="s">
        <v>299</v>
      </c>
      <c r="C399" s="41"/>
      <c r="D399" s="61" t="s">
        <v>126</v>
      </c>
      <c r="E399" s="79">
        <f>E400+E403+E406</f>
        <v>1076</v>
      </c>
      <c r="F399" s="79">
        <f>F400+F403+F406</f>
        <v>1106</v>
      </c>
      <c r="G399" s="68">
        <f aca="true" t="shared" si="189" ref="G399:Q399">G400+G403+G406</f>
        <v>0</v>
      </c>
      <c r="H399" s="68">
        <f t="shared" si="189"/>
        <v>0</v>
      </c>
      <c r="I399" s="70">
        <f t="shared" si="189"/>
        <v>0</v>
      </c>
      <c r="J399" s="68">
        <f t="shared" si="189"/>
        <v>0</v>
      </c>
      <c r="K399" s="68">
        <f t="shared" si="189"/>
        <v>0</v>
      </c>
      <c r="L399" s="68">
        <f t="shared" si="189"/>
        <v>30</v>
      </c>
      <c r="M399" s="68">
        <f t="shared" si="189"/>
        <v>0</v>
      </c>
      <c r="N399" s="168">
        <f t="shared" si="189"/>
        <v>0</v>
      </c>
      <c r="O399" s="68">
        <f t="shared" si="189"/>
        <v>0</v>
      </c>
      <c r="P399" s="68">
        <f t="shared" si="189"/>
        <v>0</v>
      </c>
      <c r="Q399" s="68">
        <f t="shared" si="189"/>
        <v>0</v>
      </c>
      <c r="R399" s="68">
        <f>R400+R403+R406</f>
        <v>0</v>
      </c>
      <c r="S399" s="68">
        <f>S400+S403+S406</f>
        <v>0</v>
      </c>
      <c r="T399" s="34"/>
    </row>
    <row r="400" spans="1:20" s="25" customFormat="1" ht="38.25" hidden="1">
      <c r="A400" s="17"/>
      <c r="B400" s="66" t="s">
        <v>300</v>
      </c>
      <c r="C400" s="41"/>
      <c r="D400" s="57" t="s">
        <v>303</v>
      </c>
      <c r="E400" s="79">
        <f>E401</f>
        <v>807.7</v>
      </c>
      <c r="F400" s="79">
        <f aca="true" t="shared" si="190" ref="F400:S401">F401</f>
        <v>837.7</v>
      </c>
      <c r="G400" s="68">
        <f t="shared" si="190"/>
        <v>0</v>
      </c>
      <c r="H400" s="68">
        <f t="shared" si="190"/>
        <v>0</v>
      </c>
      <c r="I400" s="70">
        <f t="shared" si="190"/>
        <v>0</v>
      </c>
      <c r="J400" s="68">
        <f t="shared" si="190"/>
        <v>0</v>
      </c>
      <c r="K400" s="68">
        <f t="shared" si="190"/>
        <v>0</v>
      </c>
      <c r="L400" s="68">
        <f t="shared" si="190"/>
        <v>30</v>
      </c>
      <c r="M400" s="68">
        <f t="shared" si="190"/>
        <v>0</v>
      </c>
      <c r="N400" s="168">
        <f t="shared" si="190"/>
        <v>0</v>
      </c>
      <c r="O400" s="68">
        <f t="shared" si="190"/>
        <v>0</v>
      </c>
      <c r="P400" s="68">
        <f t="shared" si="190"/>
        <v>0</v>
      </c>
      <c r="Q400" s="68">
        <f t="shared" si="190"/>
        <v>0</v>
      </c>
      <c r="R400" s="68">
        <f t="shared" si="190"/>
        <v>0</v>
      </c>
      <c r="S400" s="68">
        <f t="shared" si="190"/>
        <v>0</v>
      </c>
      <c r="T400" s="34"/>
    </row>
    <row r="401" spans="1:20" s="25" customFormat="1" ht="25.5" hidden="1">
      <c r="A401" s="5"/>
      <c r="B401" s="66" t="s">
        <v>301</v>
      </c>
      <c r="C401" s="41"/>
      <c r="D401" s="57" t="s">
        <v>278</v>
      </c>
      <c r="E401" s="79">
        <f>E402</f>
        <v>807.7</v>
      </c>
      <c r="F401" s="79">
        <f t="shared" si="190"/>
        <v>837.7</v>
      </c>
      <c r="G401" s="68">
        <f t="shared" si="190"/>
        <v>0</v>
      </c>
      <c r="H401" s="68">
        <f t="shared" si="190"/>
        <v>0</v>
      </c>
      <c r="I401" s="70">
        <f t="shared" si="190"/>
        <v>0</v>
      </c>
      <c r="J401" s="68">
        <f t="shared" si="190"/>
        <v>0</v>
      </c>
      <c r="K401" s="68">
        <f t="shared" si="190"/>
        <v>0</v>
      </c>
      <c r="L401" s="68">
        <f t="shared" si="190"/>
        <v>30</v>
      </c>
      <c r="M401" s="68">
        <f t="shared" si="190"/>
        <v>0</v>
      </c>
      <c r="N401" s="168">
        <f t="shared" si="190"/>
        <v>0</v>
      </c>
      <c r="O401" s="68">
        <f t="shared" si="190"/>
        <v>0</v>
      </c>
      <c r="P401" s="68">
        <f t="shared" si="190"/>
        <v>0</v>
      </c>
      <c r="Q401" s="68">
        <f t="shared" si="190"/>
        <v>0</v>
      </c>
      <c r="R401" s="68">
        <f t="shared" si="190"/>
        <v>0</v>
      </c>
      <c r="S401" s="68">
        <f t="shared" si="190"/>
        <v>0</v>
      </c>
      <c r="T401" s="34"/>
    </row>
    <row r="402" spans="1:20" s="25" customFormat="1" ht="25.5" hidden="1">
      <c r="A402" s="17"/>
      <c r="B402" s="66"/>
      <c r="C402" s="41" t="s">
        <v>11</v>
      </c>
      <c r="D402" s="67" t="s">
        <v>12</v>
      </c>
      <c r="E402" s="79">
        <f>807.7</f>
        <v>807.7</v>
      </c>
      <c r="F402" s="93">
        <f>E402+SUM(G402:Q402)</f>
        <v>837.7</v>
      </c>
      <c r="G402" s="68"/>
      <c r="H402" s="68"/>
      <c r="I402" s="153"/>
      <c r="J402" s="69"/>
      <c r="K402" s="68"/>
      <c r="L402" s="68">
        <f>30</f>
        <v>30</v>
      </c>
      <c r="M402" s="68"/>
      <c r="N402" s="168"/>
      <c r="O402" s="68"/>
      <c r="P402" s="68"/>
      <c r="Q402" s="68"/>
      <c r="R402" s="68"/>
      <c r="S402" s="68"/>
      <c r="T402" s="34"/>
    </row>
    <row r="403" spans="1:19" s="25" customFormat="1" ht="25.5" hidden="1">
      <c r="A403" s="17"/>
      <c r="B403" s="66" t="s">
        <v>304</v>
      </c>
      <c r="C403" s="41"/>
      <c r="D403" s="57" t="s">
        <v>306</v>
      </c>
      <c r="E403" s="79">
        <f>E404</f>
        <v>100</v>
      </c>
      <c r="F403" s="79">
        <f aca="true" t="shared" si="191" ref="F403:S404">F404</f>
        <v>100</v>
      </c>
      <c r="G403" s="68">
        <f t="shared" si="191"/>
        <v>0</v>
      </c>
      <c r="H403" s="68">
        <f t="shared" si="191"/>
        <v>0</v>
      </c>
      <c r="I403" s="70">
        <f t="shared" si="191"/>
        <v>0</v>
      </c>
      <c r="J403" s="68">
        <f t="shared" si="191"/>
        <v>0</v>
      </c>
      <c r="K403" s="68">
        <f t="shared" si="191"/>
        <v>0</v>
      </c>
      <c r="L403" s="68">
        <f t="shared" si="191"/>
        <v>0</v>
      </c>
      <c r="M403" s="68">
        <f t="shared" si="191"/>
        <v>0</v>
      </c>
      <c r="N403" s="168">
        <f t="shared" si="191"/>
        <v>0</v>
      </c>
      <c r="O403" s="68">
        <f t="shared" si="191"/>
        <v>0</v>
      </c>
      <c r="P403" s="68">
        <f t="shared" si="191"/>
        <v>0</v>
      </c>
      <c r="Q403" s="68">
        <f t="shared" si="191"/>
        <v>0</v>
      </c>
      <c r="R403" s="68">
        <f t="shared" si="191"/>
        <v>0</v>
      </c>
      <c r="S403" s="68">
        <f t="shared" si="191"/>
        <v>0</v>
      </c>
    </row>
    <row r="404" spans="1:20" s="34" customFormat="1" ht="25.5" hidden="1">
      <c r="A404" s="17"/>
      <c r="B404" s="66" t="s">
        <v>305</v>
      </c>
      <c r="C404" s="41"/>
      <c r="D404" s="57" t="s">
        <v>307</v>
      </c>
      <c r="E404" s="79">
        <f>E405</f>
        <v>100</v>
      </c>
      <c r="F404" s="79">
        <f t="shared" si="191"/>
        <v>100</v>
      </c>
      <c r="G404" s="68">
        <f t="shared" si="191"/>
        <v>0</v>
      </c>
      <c r="H404" s="68">
        <f t="shared" si="191"/>
        <v>0</v>
      </c>
      <c r="I404" s="70">
        <f t="shared" si="191"/>
        <v>0</v>
      </c>
      <c r="J404" s="68">
        <f t="shared" si="191"/>
        <v>0</v>
      </c>
      <c r="K404" s="68">
        <f t="shared" si="191"/>
        <v>0</v>
      </c>
      <c r="L404" s="68">
        <f t="shared" si="191"/>
        <v>0</v>
      </c>
      <c r="M404" s="68">
        <f t="shared" si="191"/>
        <v>0</v>
      </c>
      <c r="N404" s="168">
        <f t="shared" si="191"/>
        <v>0</v>
      </c>
      <c r="O404" s="68">
        <f t="shared" si="191"/>
        <v>0</v>
      </c>
      <c r="P404" s="68">
        <f t="shared" si="191"/>
        <v>0</v>
      </c>
      <c r="Q404" s="68">
        <f t="shared" si="191"/>
        <v>0</v>
      </c>
      <c r="R404" s="68">
        <f t="shared" si="191"/>
        <v>0</v>
      </c>
      <c r="S404" s="68">
        <f t="shared" si="191"/>
        <v>0</v>
      </c>
      <c r="T404" s="25"/>
    </row>
    <row r="405" spans="1:20" s="34" customFormat="1" ht="25.5" hidden="1">
      <c r="A405" s="17"/>
      <c r="B405" s="66"/>
      <c r="C405" s="41" t="s">
        <v>11</v>
      </c>
      <c r="D405" s="67" t="s">
        <v>12</v>
      </c>
      <c r="E405" s="79">
        <f>100</f>
        <v>100</v>
      </c>
      <c r="F405" s="93">
        <f>E405+SUM(G405:Q405)</f>
        <v>100</v>
      </c>
      <c r="G405" s="68"/>
      <c r="H405" s="68"/>
      <c r="I405" s="153"/>
      <c r="J405" s="69"/>
      <c r="K405" s="68"/>
      <c r="L405" s="68"/>
      <c r="M405" s="68"/>
      <c r="N405" s="168"/>
      <c r="O405" s="68"/>
      <c r="P405" s="68"/>
      <c r="Q405" s="68"/>
      <c r="R405" s="68"/>
      <c r="S405" s="68"/>
      <c r="T405" s="25"/>
    </row>
    <row r="406" spans="1:20" s="34" customFormat="1" ht="25.5" hidden="1">
      <c r="A406" s="17"/>
      <c r="B406" s="66" t="s">
        <v>308</v>
      </c>
      <c r="C406" s="41"/>
      <c r="D406" s="57" t="s">
        <v>310</v>
      </c>
      <c r="E406" s="79">
        <f>E407</f>
        <v>168.3</v>
      </c>
      <c r="F406" s="79">
        <f aca="true" t="shared" si="192" ref="F406:S407">F407</f>
        <v>168.3</v>
      </c>
      <c r="G406" s="68">
        <f t="shared" si="192"/>
        <v>0</v>
      </c>
      <c r="H406" s="68">
        <f t="shared" si="192"/>
        <v>0</v>
      </c>
      <c r="I406" s="70">
        <f t="shared" si="192"/>
        <v>0</v>
      </c>
      <c r="J406" s="68">
        <f t="shared" si="192"/>
        <v>0</v>
      </c>
      <c r="K406" s="68">
        <f t="shared" si="192"/>
        <v>0</v>
      </c>
      <c r="L406" s="68">
        <f t="shared" si="192"/>
        <v>0</v>
      </c>
      <c r="M406" s="68">
        <f t="shared" si="192"/>
        <v>0</v>
      </c>
      <c r="N406" s="168">
        <f t="shared" si="192"/>
        <v>0</v>
      </c>
      <c r="O406" s="68">
        <f t="shared" si="192"/>
        <v>0</v>
      </c>
      <c r="P406" s="68">
        <f t="shared" si="192"/>
        <v>0</v>
      </c>
      <c r="Q406" s="68">
        <f t="shared" si="192"/>
        <v>0</v>
      </c>
      <c r="R406" s="68">
        <f t="shared" si="192"/>
        <v>0</v>
      </c>
      <c r="S406" s="68">
        <f t="shared" si="192"/>
        <v>0</v>
      </c>
      <c r="T406" s="25"/>
    </row>
    <row r="407" spans="1:20" s="34" customFormat="1" ht="12.75" hidden="1">
      <c r="A407" s="17"/>
      <c r="B407" s="66" t="s">
        <v>309</v>
      </c>
      <c r="C407" s="41"/>
      <c r="D407" s="57" t="s">
        <v>288</v>
      </c>
      <c r="E407" s="79">
        <f>E408</f>
        <v>168.3</v>
      </c>
      <c r="F407" s="79">
        <f t="shared" si="192"/>
        <v>168.3</v>
      </c>
      <c r="G407" s="68">
        <f t="shared" si="192"/>
        <v>0</v>
      </c>
      <c r="H407" s="68">
        <f t="shared" si="192"/>
        <v>0</v>
      </c>
      <c r="I407" s="70">
        <f t="shared" si="192"/>
        <v>0</v>
      </c>
      <c r="J407" s="68">
        <f t="shared" si="192"/>
        <v>0</v>
      </c>
      <c r="K407" s="68">
        <f t="shared" si="192"/>
        <v>0</v>
      </c>
      <c r="L407" s="68">
        <f t="shared" si="192"/>
        <v>0</v>
      </c>
      <c r="M407" s="68">
        <f t="shared" si="192"/>
        <v>0</v>
      </c>
      <c r="N407" s="168">
        <f t="shared" si="192"/>
        <v>0</v>
      </c>
      <c r="O407" s="68">
        <f t="shared" si="192"/>
        <v>0</v>
      </c>
      <c r="P407" s="68">
        <f t="shared" si="192"/>
        <v>0</v>
      </c>
      <c r="Q407" s="68">
        <f t="shared" si="192"/>
        <v>0</v>
      </c>
      <c r="R407" s="68">
        <f t="shared" si="192"/>
        <v>0</v>
      </c>
      <c r="S407" s="68">
        <f t="shared" si="192"/>
        <v>0</v>
      </c>
      <c r="T407" s="25"/>
    </row>
    <row r="408" spans="1:20" s="34" customFormat="1" ht="25.5" hidden="1">
      <c r="A408" s="17"/>
      <c r="B408" s="66"/>
      <c r="C408" s="41" t="s">
        <v>3</v>
      </c>
      <c r="D408" s="67" t="s">
        <v>95</v>
      </c>
      <c r="E408" s="79">
        <f>168.3</f>
        <v>168.3</v>
      </c>
      <c r="F408" s="93">
        <f>E408+SUM(G408:Q408)</f>
        <v>168.3</v>
      </c>
      <c r="G408" s="68"/>
      <c r="H408" s="68"/>
      <c r="I408" s="153"/>
      <c r="J408" s="69"/>
      <c r="K408" s="68"/>
      <c r="L408" s="68"/>
      <c r="M408" s="68"/>
      <c r="N408" s="168"/>
      <c r="O408" s="68"/>
      <c r="P408" s="68"/>
      <c r="Q408" s="68"/>
      <c r="R408" s="68"/>
      <c r="S408" s="68"/>
      <c r="T408" s="25"/>
    </row>
    <row r="409" spans="1:19" s="25" customFormat="1" ht="48" customHeight="1" hidden="1">
      <c r="A409" s="5"/>
      <c r="B409" s="82" t="s">
        <v>319</v>
      </c>
      <c r="C409" s="41"/>
      <c r="D409" s="61" t="s">
        <v>128</v>
      </c>
      <c r="E409" s="79">
        <f aca="true" t="shared" si="193" ref="E409:S410">E410</f>
        <v>3339.4</v>
      </c>
      <c r="F409" s="79">
        <f t="shared" si="193"/>
        <v>3492.1150000000002</v>
      </c>
      <c r="G409" s="68">
        <f t="shared" si="193"/>
        <v>0</v>
      </c>
      <c r="H409" s="68">
        <f t="shared" si="193"/>
        <v>0</v>
      </c>
      <c r="I409" s="70">
        <f t="shared" si="193"/>
        <v>261.5</v>
      </c>
      <c r="J409" s="68">
        <f t="shared" si="193"/>
        <v>0</v>
      </c>
      <c r="K409" s="68">
        <f t="shared" si="193"/>
        <v>0</v>
      </c>
      <c r="L409" s="68">
        <f t="shared" si="193"/>
        <v>0</v>
      </c>
      <c r="M409" s="68">
        <f t="shared" si="193"/>
        <v>0</v>
      </c>
      <c r="N409" s="168">
        <f t="shared" si="193"/>
        <v>0</v>
      </c>
      <c r="O409" s="68">
        <f t="shared" si="193"/>
        <v>-3.785</v>
      </c>
      <c r="P409" s="68">
        <f t="shared" si="193"/>
        <v>-105</v>
      </c>
      <c r="Q409" s="68">
        <f t="shared" si="193"/>
        <v>0</v>
      </c>
      <c r="R409" s="68">
        <f t="shared" si="193"/>
        <v>0</v>
      </c>
      <c r="S409" s="68">
        <f t="shared" si="193"/>
        <v>0</v>
      </c>
    </row>
    <row r="410" spans="1:19" s="25" customFormat="1" ht="48" customHeight="1" hidden="1">
      <c r="A410" s="5"/>
      <c r="B410" s="66" t="s">
        <v>320</v>
      </c>
      <c r="C410" s="41"/>
      <c r="D410" s="57" t="s">
        <v>165</v>
      </c>
      <c r="E410" s="79">
        <f t="shared" si="193"/>
        <v>3339.4</v>
      </c>
      <c r="F410" s="79">
        <f t="shared" si="193"/>
        <v>3492.1150000000002</v>
      </c>
      <c r="G410" s="68">
        <f t="shared" si="193"/>
        <v>0</v>
      </c>
      <c r="H410" s="68">
        <f t="shared" si="193"/>
        <v>0</v>
      </c>
      <c r="I410" s="70">
        <f t="shared" si="193"/>
        <v>261.5</v>
      </c>
      <c r="J410" s="68">
        <f t="shared" si="193"/>
        <v>0</v>
      </c>
      <c r="K410" s="68">
        <f t="shared" si="193"/>
        <v>0</v>
      </c>
      <c r="L410" s="68">
        <f t="shared" si="193"/>
        <v>0</v>
      </c>
      <c r="M410" s="68">
        <f t="shared" si="193"/>
        <v>0</v>
      </c>
      <c r="N410" s="168">
        <f t="shared" si="193"/>
        <v>0</v>
      </c>
      <c r="O410" s="68">
        <f t="shared" si="193"/>
        <v>-3.785</v>
      </c>
      <c r="P410" s="68">
        <f t="shared" si="193"/>
        <v>-105</v>
      </c>
      <c r="Q410" s="68">
        <f t="shared" si="193"/>
        <v>0</v>
      </c>
      <c r="R410" s="68">
        <f t="shared" si="193"/>
        <v>0</v>
      </c>
      <c r="S410" s="68">
        <f t="shared" si="193"/>
        <v>0</v>
      </c>
    </row>
    <row r="411" spans="1:19" s="25" customFormat="1" ht="48" customHeight="1" hidden="1">
      <c r="A411" s="5"/>
      <c r="B411" s="66" t="s">
        <v>321</v>
      </c>
      <c r="C411" s="41"/>
      <c r="D411" s="57" t="s">
        <v>166</v>
      </c>
      <c r="E411" s="79">
        <f>E412+E413+E414</f>
        <v>3339.4</v>
      </c>
      <c r="F411" s="79">
        <f aca="true" t="shared" si="194" ref="F411:Q411">F412+F413+F414</f>
        <v>3492.1150000000002</v>
      </c>
      <c r="G411" s="68">
        <f t="shared" si="194"/>
        <v>0</v>
      </c>
      <c r="H411" s="68">
        <f t="shared" si="194"/>
        <v>0</v>
      </c>
      <c r="I411" s="70">
        <f t="shared" si="194"/>
        <v>261.5</v>
      </c>
      <c r="J411" s="68">
        <f t="shared" si="194"/>
        <v>0</v>
      </c>
      <c r="K411" s="68">
        <f t="shared" si="194"/>
        <v>0</v>
      </c>
      <c r="L411" s="68">
        <f t="shared" si="194"/>
        <v>0</v>
      </c>
      <c r="M411" s="68">
        <f t="shared" si="194"/>
        <v>0</v>
      </c>
      <c r="N411" s="168">
        <f t="shared" si="194"/>
        <v>0</v>
      </c>
      <c r="O411" s="68">
        <f t="shared" si="194"/>
        <v>-3.785</v>
      </c>
      <c r="P411" s="68">
        <f t="shared" si="194"/>
        <v>-105</v>
      </c>
      <c r="Q411" s="68">
        <f t="shared" si="194"/>
        <v>0</v>
      </c>
      <c r="R411" s="68">
        <f>R412+R413+R414</f>
        <v>0</v>
      </c>
      <c r="S411" s="68">
        <f>S412+S413+S414</f>
        <v>0</v>
      </c>
    </row>
    <row r="412" spans="1:19" s="25" customFormat="1" ht="58.5" customHeight="1" hidden="1">
      <c r="A412" s="5"/>
      <c r="B412" s="66"/>
      <c r="C412" s="41" t="s">
        <v>2</v>
      </c>
      <c r="D412" s="67" t="s">
        <v>94</v>
      </c>
      <c r="E412" s="79">
        <f>2907.4</f>
        <v>2907.4</v>
      </c>
      <c r="F412" s="93">
        <f>E412+SUM(G412:Q412)</f>
        <v>3168.9</v>
      </c>
      <c r="G412" s="68"/>
      <c r="H412" s="68"/>
      <c r="I412" s="153">
        <v>261.5</v>
      </c>
      <c r="J412" s="69"/>
      <c r="K412" s="68"/>
      <c r="L412" s="79"/>
      <c r="M412" s="68"/>
      <c r="N412" s="168"/>
      <c r="O412" s="68"/>
      <c r="P412" s="68"/>
      <c r="Q412" s="68"/>
      <c r="R412" s="68"/>
      <c r="S412" s="68"/>
    </row>
    <row r="413" spans="1:19" s="25" customFormat="1" ht="48" customHeight="1" hidden="1">
      <c r="A413" s="5"/>
      <c r="B413" s="66"/>
      <c r="C413" s="41" t="s">
        <v>3</v>
      </c>
      <c r="D413" s="67" t="s">
        <v>95</v>
      </c>
      <c r="E413" s="79">
        <f>420.1</f>
        <v>420.1</v>
      </c>
      <c r="F413" s="93">
        <f>E413+SUM(G413:Q413)</f>
        <v>297.31500000000005</v>
      </c>
      <c r="G413" s="68"/>
      <c r="H413" s="68"/>
      <c r="I413" s="153"/>
      <c r="J413" s="69"/>
      <c r="K413" s="68"/>
      <c r="L413" s="68">
        <f>-14</f>
        <v>-14</v>
      </c>
      <c r="M413" s="68"/>
      <c r="N413" s="168"/>
      <c r="O413" s="68">
        <v>-3.785</v>
      </c>
      <c r="P413" s="68">
        <v>-105</v>
      </c>
      <c r="Q413" s="68"/>
      <c r="R413" s="68"/>
      <c r="S413" s="68"/>
    </row>
    <row r="414" spans="1:19" s="25" customFormat="1" ht="12.75" hidden="1">
      <c r="A414" s="5"/>
      <c r="B414" s="66"/>
      <c r="C414" s="41" t="s">
        <v>4</v>
      </c>
      <c r="D414" s="67" t="s">
        <v>5</v>
      </c>
      <c r="E414" s="79">
        <f>11.9</f>
        <v>11.9</v>
      </c>
      <c r="F414" s="93">
        <f>E414+SUM(G414:Q414)</f>
        <v>25.9</v>
      </c>
      <c r="G414" s="68"/>
      <c r="H414" s="68"/>
      <c r="I414" s="153"/>
      <c r="J414" s="69"/>
      <c r="K414" s="68"/>
      <c r="L414" s="68">
        <f>14</f>
        <v>14</v>
      </c>
      <c r="M414" s="68"/>
      <c r="N414" s="168"/>
      <c r="O414" s="68"/>
      <c r="P414" s="68"/>
      <c r="Q414" s="68"/>
      <c r="R414" s="68"/>
      <c r="S414" s="68"/>
    </row>
    <row r="415" spans="1:19" s="25" customFormat="1" ht="12" hidden="1">
      <c r="A415" s="5" t="s">
        <v>71</v>
      </c>
      <c r="B415" s="5"/>
      <c r="C415" s="5"/>
      <c r="D415" s="20" t="s">
        <v>72</v>
      </c>
      <c r="E415" s="119">
        <f>E416</f>
        <v>1528.4</v>
      </c>
      <c r="F415" s="119">
        <f aca="true" t="shared" si="195" ref="F415:S418">F416</f>
        <v>1657</v>
      </c>
      <c r="G415" s="26">
        <f t="shared" si="195"/>
        <v>0</v>
      </c>
      <c r="H415" s="26">
        <f t="shared" si="195"/>
        <v>0</v>
      </c>
      <c r="I415" s="158">
        <f t="shared" si="195"/>
        <v>128.6</v>
      </c>
      <c r="J415" s="26">
        <f t="shared" si="195"/>
        <v>0</v>
      </c>
      <c r="K415" s="26">
        <f t="shared" si="195"/>
        <v>0</v>
      </c>
      <c r="L415" s="26">
        <f t="shared" si="195"/>
        <v>0</v>
      </c>
      <c r="M415" s="26">
        <f t="shared" si="195"/>
        <v>0</v>
      </c>
      <c r="N415" s="176">
        <f t="shared" si="195"/>
        <v>0</v>
      </c>
      <c r="O415" s="26">
        <f t="shared" si="195"/>
        <v>0</v>
      </c>
      <c r="P415" s="26">
        <f t="shared" si="195"/>
        <v>0</v>
      </c>
      <c r="Q415" s="26">
        <f t="shared" si="195"/>
        <v>0</v>
      </c>
      <c r="R415" s="26">
        <f t="shared" si="195"/>
        <v>0</v>
      </c>
      <c r="S415" s="26">
        <f t="shared" si="195"/>
        <v>0</v>
      </c>
    </row>
    <row r="416" spans="1:19" s="25" customFormat="1" ht="61.5" customHeight="1" hidden="1">
      <c r="A416" s="5"/>
      <c r="B416" s="63" t="s">
        <v>273</v>
      </c>
      <c r="C416" s="11"/>
      <c r="D416" s="60" t="s">
        <v>123</v>
      </c>
      <c r="E416" s="95">
        <f>E417</f>
        <v>1528.4</v>
      </c>
      <c r="F416" s="95">
        <f t="shared" si="195"/>
        <v>1657</v>
      </c>
      <c r="G416" s="73">
        <f t="shared" si="195"/>
        <v>0</v>
      </c>
      <c r="H416" s="73">
        <f t="shared" si="195"/>
        <v>0</v>
      </c>
      <c r="I416" s="77">
        <f t="shared" si="195"/>
        <v>128.6</v>
      </c>
      <c r="J416" s="73">
        <f t="shared" si="195"/>
        <v>0</v>
      </c>
      <c r="K416" s="73">
        <f t="shared" si="195"/>
        <v>0</v>
      </c>
      <c r="L416" s="73">
        <f t="shared" si="195"/>
        <v>0</v>
      </c>
      <c r="M416" s="73">
        <f t="shared" si="195"/>
        <v>0</v>
      </c>
      <c r="N416" s="123">
        <f t="shared" si="195"/>
        <v>0</v>
      </c>
      <c r="O416" s="73">
        <f t="shared" si="195"/>
        <v>0</v>
      </c>
      <c r="P416" s="73">
        <f t="shared" si="195"/>
        <v>0</v>
      </c>
      <c r="Q416" s="73">
        <f t="shared" si="195"/>
        <v>0</v>
      </c>
      <c r="R416" s="73">
        <f t="shared" si="195"/>
        <v>0</v>
      </c>
      <c r="S416" s="73">
        <f t="shared" si="195"/>
        <v>0</v>
      </c>
    </row>
    <row r="417" spans="1:20" s="25" customFormat="1" ht="54" customHeight="1" hidden="1">
      <c r="A417" s="17"/>
      <c r="B417" s="82" t="s">
        <v>319</v>
      </c>
      <c r="C417" s="41"/>
      <c r="D417" s="61" t="s">
        <v>128</v>
      </c>
      <c r="E417" s="79">
        <f>E418</f>
        <v>1528.4</v>
      </c>
      <c r="F417" s="79">
        <f t="shared" si="195"/>
        <v>1657</v>
      </c>
      <c r="G417" s="68">
        <f t="shared" si="195"/>
        <v>0</v>
      </c>
      <c r="H417" s="68">
        <f t="shared" si="195"/>
        <v>0</v>
      </c>
      <c r="I417" s="70">
        <f t="shared" si="195"/>
        <v>128.6</v>
      </c>
      <c r="J417" s="68">
        <f t="shared" si="195"/>
        <v>0</v>
      </c>
      <c r="K417" s="68">
        <f t="shared" si="195"/>
        <v>0</v>
      </c>
      <c r="L417" s="68">
        <f t="shared" si="195"/>
        <v>0</v>
      </c>
      <c r="M417" s="68">
        <f t="shared" si="195"/>
        <v>0</v>
      </c>
      <c r="N417" s="168">
        <f t="shared" si="195"/>
        <v>0</v>
      </c>
      <c r="O417" s="68">
        <f t="shared" si="195"/>
        <v>0</v>
      </c>
      <c r="P417" s="68">
        <f t="shared" si="195"/>
        <v>0</v>
      </c>
      <c r="Q417" s="68">
        <f t="shared" si="195"/>
        <v>0</v>
      </c>
      <c r="R417" s="68">
        <f t="shared" si="195"/>
        <v>0</v>
      </c>
      <c r="S417" s="68">
        <f t="shared" si="195"/>
        <v>0</v>
      </c>
      <c r="T417" s="24"/>
    </row>
    <row r="418" spans="1:19" s="25" customFormat="1" ht="25.5" hidden="1">
      <c r="A418" s="5"/>
      <c r="B418" s="66" t="s">
        <v>323</v>
      </c>
      <c r="C418" s="41"/>
      <c r="D418" s="57" t="s">
        <v>518</v>
      </c>
      <c r="E418" s="79">
        <f>E419</f>
        <v>1528.4</v>
      </c>
      <c r="F418" s="79">
        <f t="shared" si="195"/>
        <v>1657</v>
      </c>
      <c r="G418" s="68">
        <f t="shared" si="195"/>
        <v>0</v>
      </c>
      <c r="H418" s="68">
        <f t="shared" si="195"/>
        <v>0</v>
      </c>
      <c r="I418" s="70">
        <f t="shared" si="195"/>
        <v>128.6</v>
      </c>
      <c r="J418" s="68">
        <f t="shared" si="195"/>
        <v>0</v>
      </c>
      <c r="K418" s="68">
        <f t="shared" si="195"/>
        <v>0</v>
      </c>
      <c r="L418" s="68">
        <f t="shared" si="195"/>
        <v>0</v>
      </c>
      <c r="M418" s="68">
        <f t="shared" si="195"/>
        <v>0</v>
      </c>
      <c r="N418" s="168">
        <f t="shared" si="195"/>
        <v>0</v>
      </c>
      <c r="O418" s="68">
        <f t="shared" si="195"/>
        <v>0</v>
      </c>
      <c r="P418" s="68">
        <f t="shared" si="195"/>
        <v>0</v>
      </c>
      <c r="Q418" s="68">
        <f t="shared" si="195"/>
        <v>0</v>
      </c>
      <c r="R418" s="68">
        <f t="shared" si="195"/>
        <v>0</v>
      </c>
      <c r="S418" s="68">
        <f>S419</f>
        <v>0</v>
      </c>
    </row>
    <row r="419" spans="1:19" s="25" customFormat="1" ht="25.5" hidden="1">
      <c r="A419" s="5"/>
      <c r="B419" s="66" t="s">
        <v>322</v>
      </c>
      <c r="C419" s="41"/>
      <c r="D419" s="57" t="s">
        <v>278</v>
      </c>
      <c r="E419" s="79">
        <f>E420+E421</f>
        <v>1528.4</v>
      </c>
      <c r="F419" s="79">
        <f aca="true" t="shared" si="196" ref="F419:Q419">F420+F421</f>
        <v>1657</v>
      </c>
      <c r="G419" s="68">
        <f t="shared" si="196"/>
        <v>0</v>
      </c>
      <c r="H419" s="68">
        <f t="shared" si="196"/>
        <v>0</v>
      </c>
      <c r="I419" s="70">
        <f t="shared" si="196"/>
        <v>128.6</v>
      </c>
      <c r="J419" s="68">
        <f t="shared" si="196"/>
        <v>0</v>
      </c>
      <c r="K419" s="68">
        <f t="shared" si="196"/>
        <v>0</v>
      </c>
      <c r="L419" s="68">
        <f t="shared" si="196"/>
        <v>0</v>
      </c>
      <c r="M419" s="68">
        <f t="shared" si="196"/>
        <v>0</v>
      </c>
      <c r="N419" s="168">
        <f t="shared" si="196"/>
        <v>0</v>
      </c>
      <c r="O419" s="68">
        <f t="shared" si="196"/>
        <v>0</v>
      </c>
      <c r="P419" s="68">
        <f t="shared" si="196"/>
        <v>0</v>
      </c>
      <c r="Q419" s="68">
        <f t="shared" si="196"/>
        <v>0</v>
      </c>
      <c r="R419" s="68">
        <f>R420+R421</f>
        <v>0</v>
      </c>
      <c r="S419" s="68">
        <f>S420+S421</f>
        <v>0</v>
      </c>
    </row>
    <row r="420" spans="1:19" s="25" customFormat="1" ht="51" hidden="1">
      <c r="A420" s="5"/>
      <c r="B420" s="66"/>
      <c r="C420" s="41" t="s">
        <v>2</v>
      </c>
      <c r="D420" s="67" t="s">
        <v>94</v>
      </c>
      <c r="E420" s="79">
        <f>1391</f>
        <v>1391</v>
      </c>
      <c r="F420" s="93">
        <f>E420+SUM(G420:S420)</f>
        <v>1519.6</v>
      </c>
      <c r="G420" s="68"/>
      <c r="H420" s="68"/>
      <c r="I420" s="153">
        <v>128.6</v>
      </c>
      <c r="J420" s="69"/>
      <c r="K420" s="68"/>
      <c r="L420" s="68"/>
      <c r="M420" s="68"/>
      <c r="N420" s="168"/>
      <c r="O420" s="68"/>
      <c r="P420" s="68"/>
      <c r="Q420" s="68"/>
      <c r="R420" s="68"/>
      <c r="S420" s="68"/>
    </row>
    <row r="421" spans="1:19" s="25" customFormat="1" ht="25.5" hidden="1">
      <c r="A421" s="5"/>
      <c r="B421" s="66"/>
      <c r="C421" s="41" t="s">
        <v>3</v>
      </c>
      <c r="D421" s="67" t="s">
        <v>95</v>
      </c>
      <c r="E421" s="93">
        <f>137.4</f>
        <v>137.4</v>
      </c>
      <c r="F421" s="93">
        <f>E421+SUM(G421:S421)</f>
        <v>137.4</v>
      </c>
      <c r="G421" s="64"/>
      <c r="H421" s="64"/>
      <c r="I421" s="154"/>
      <c r="J421" s="65"/>
      <c r="K421" s="64"/>
      <c r="L421" s="64"/>
      <c r="M421" s="64"/>
      <c r="N421" s="172"/>
      <c r="O421" s="64"/>
      <c r="P421" s="64"/>
      <c r="Q421" s="64"/>
      <c r="R421" s="64"/>
      <c r="S421" s="64"/>
    </row>
    <row r="422" spans="1:20" s="24" customFormat="1" ht="12">
      <c r="A422" s="5" t="s">
        <v>73</v>
      </c>
      <c r="B422" s="16"/>
      <c r="C422" s="5"/>
      <c r="D422" s="13" t="s">
        <v>85</v>
      </c>
      <c r="E422" s="119">
        <f>E423</f>
        <v>23602.3</v>
      </c>
      <c r="F422" s="119">
        <f>F423</f>
        <v>24680.085</v>
      </c>
      <c r="G422" s="26">
        <f aca="true" t="shared" si="197" ref="G422:M422">G423</f>
        <v>0</v>
      </c>
      <c r="H422" s="26">
        <f t="shared" si="197"/>
        <v>395</v>
      </c>
      <c r="I422" s="158">
        <f t="shared" si="197"/>
        <v>0</v>
      </c>
      <c r="J422" s="26">
        <f t="shared" si="197"/>
        <v>0</v>
      </c>
      <c r="K422" s="26">
        <f t="shared" si="197"/>
        <v>0</v>
      </c>
      <c r="L422" s="26">
        <f t="shared" si="197"/>
        <v>34</v>
      </c>
      <c r="M422" s="26">
        <f t="shared" si="197"/>
        <v>300</v>
      </c>
      <c r="N422" s="176">
        <f aca="true" t="shared" si="198" ref="N422:S422">N423</f>
        <v>0</v>
      </c>
      <c r="O422" s="26">
        <f t="shared" si="198"/>
        <v>3.7849999999999966</v>
      </c>
      <c r="P422" s="26">
        <f t="shared" si="198"/>
        <v>45</v>
      </c>
      <c r="Q422" s="26">
        <f t="shared" si="198"/>
        <v>300</v>
      </c>
      <c r="R422" s="26">
        <f t="shared" si="198"/>
        <v>560</v>
      </c>
      <c r="S422" s="26">
        <f t="shared" si="198"/>
        <v>0</v>
      </c>
      <c r="T422" s="25"/>
    </row>
    <row r="423" spans="1:20" s="24" customFormat="1" ht="12">
      <c r="A423" s="5" t="s">
        <v>74</v>
      </c>
      <c r="B423" s="16"/>
      <c r="C423" s="5"/>
      <c r="D423" s="13" t="s">
        <v>75</v>
      </c>
      <c r="E423" s="119">
        <f aca="true" t="shared" si="199" ref="E423:Q423">E424+E428</f>
        <v>23602.3</v>
      </c>
      <c r="F423" s="119">
        <f t="shared" si="199"/>
        <v>24680.085</v>
      </c>
      <c r="G423" s="26">
        <f t="shared" si="199"/>
        <v>0</v>
      </c>
      <c r="H423" s="26">
        <f t="shared" si="199"/>
        <v>395</v>
      </c>
      <c r="I423" s="158">
        <f t="shared" si="199"/>
        <v>0</v>
      </c>
      <c r="J423" s="26">
        <f t="shared" si="199"/>
        <v>0</v>
      </c>
      <c r="K423" s="26">
        <f t="shared" si="199"/>
        <v>0</v>
      </c>
      <c r="L423" s="26">
        <f t="shared" si="199"/>
        <v>34</v>
      </c>
      <c r="M423" s="26">
        <f t="shared" si="199"/>
        <v>300</v>
      </c>
      <c r="N423" s="176">
        <f t="shared" si="199"/>
        <v>0</v>
      </c>
      <c r="O423" s="26">
        <f t="shared" si="199"/>
        <v>3.7849999999999966</v>
      </c>
      <c r="P423" s="26">
        <f t="shared" si="199"/>
        <v>45</v>
      </c>
      <c r="Q423" s="26">
        <f t="shared" si="199"/>
        <v>300</v>
      </c>
      <c r="R423" s="26">
        <f>R424+R428</f>
        <v>560</v>
      </c>
      <c r="S423" s="26">
        <f>S424+S428</f>
        <v>0</v>
      </c>
      <c r="T423" s="25"/>
    </row>
    <row r="424" spans="1:19" s="25" customFormat="1" ht="51" hidden="1">
      <c r="A424" s="5"/>
      <c r="B424" s="63" t="s">
        <v>192</v>
      </c>
      <c r="C424" s="11"/>
      <c r="D424" s="60" t="s">
        <v>113</v>
      </c>
      <c r="E424" s="94">
        <f aca="true" t="shared" si="200" ref="E424:S426">E425</f>
        <v>0</v>
      </c>
      <c r="F424" s="94">
        <f t="shared" si="200"/>
        <v>0</v>
      </c>
      <c r="G424" s="71">
        <f t="shared" si="200"/>
        <v>0</v>
      </c>
      <c r="H424" s="71">
        <f t="shared" si="200"/>
        <v>0</v>
      </c>
      <c r="I424" s="156">
        <f t="shared" si="200"/>
        <v>0</v>
      </c>
      <c r="J424" s="71">
        <f t="shared" si="200"/>
        <v>0</v>
      </c>
      <c r="K424" s="71">
        <f t="shared" si="200"/>
        <v>0</v>
      </c>
      <c r="L424" s="71">
        <f t="shared" si="200"/>
        <v>0</v>
      </c>
      <c r="M424" s="71">
        <f t="shared" si="200"/>
        <v>0</v>
      </c>
      <c r="N424" s="174">
        <f t="shared" si="200"/>
        <v>0</v>
      </c>
      <c r="O424" s="71">
        <f t="shared" si="200"/>
        <v>0</v>
      </c>
      <c r="P424" s="71">
        <f t="shared" si="200"/>
        <v>0</v>
      </c>
      <c r="Q424" s="71">
        <f t="shared" si="200"/>
        <v>0</v>
      </c>
      <c r="R424" s="71">
        <f t="shared" si="200"/>
        <v>0</v>
      </c>
      <c r="S424" s="71">
        <f t="shared" si="200"/>
        <v>0</v>
      </c>
    </row>
    <row r="425" spans="1:19" s="25" customFormat="1" ht="51" hidden="1">
      <c r="A425" s="5"/>
      <c r="B425" s="82" t="s">
        <v>193</v>
      </c>
      <c r="C425" s="41"/>
      <c r="D425" s="61" t="s">
        <v>195</v>
      </c>
      <c r="E425" s="93">
        <f t="shared" si="200"/>
        <v>0</v>
      </c>
      <c r="F425" s="93">
        <f t="shared" si="200"/>
        <v>0</v>
      </c>
      <c r="G425" s="64">
        <f t="shared" si="200"/>
        <v>0</v>
      </c>
      <c r="H425" s="64">
        <f t="shared" si="200"/>
        <v>0</v>
      </c>
      <c r="I425" s="78">
        <f t="shared" si="200"/>
        <v>0</v>
      </c>
      <c r="J425" s="64">
        <f t="shared" si="200"/>
        <v>0</v>
      </c>
      <c r="K425" s="64">
        <f t="shared" si="200"/>
        <v>0</v>
      </c>
      <c r="L425" s="64">
        <f t="shared" si="200"/>
        <v>0</v>
      </c>
      <c r="M425" s="64">
        <f t="shared" si="200"/>
        <v>0</v>
      </c>
      <c r="N425" s="172">
        <f t="shared" si="200"/>
        <v>0</v>
      </c>
      <c r="O425" s="64">
        <f t="shared" si="200"/>
        <v>0</v>
      </c>
      <c r="P425" s="64">
        <f t="shared" si="200"/>
        <v>0</v>
      </c>
      <c r="Q425" s="64">
        <f t="shared" si="200"/>
        <v>0</v>
      </c>
      <c r="R425" s="64">
        <f t="shared" si="200"/>
        <v>0</v>
      </c>
      <c r="S425" s="64">
        <f t="shared" si="200"/>
        <v>0</v>
      </c>
    </row>
    <row r="426" spans="1:19" s="25" customFormat="1" ht="48.75" customHeight="1" hidden="1">
      <c r="A426" s="5"/>
      <c r="B426" s="66" t="s">
        <v>194</v>
      </c>
      <c r="C426" s="41"/>
      <c r="D426" s="57" t="s">
        <v>196</v>
      </c>
      <c r="E426" s="93">
        <f t="shared" si="200"/>
        <v>0</v>
      </c>
      <c r="F426" s="93">
        <f t="shared" si="200"/>
        <v>0</v>
      </c>
      <c r="G426" s="64">
        <f t="shared" si="200"/>
        <v>0</v>
      </c>
      <c r="H426" s="64">
        <f t="shared" si="200"/>
        <v>0</v>
      </c>
      <c r="I426" s="78">
        <f t="shared" si="200"/>
        <v>0</v>
      </c>
      <c r="J426" s="64">
        <f t="shared" si="200"/>
        <v>0</v>
      </c>
      <c r="K426" s="64">
        <f t="shared" si="200"/>
        <v>0</v>
      </c>
      <c r="L426" s="64">
        <f t="shared" si="200"/>
        <v>0</v>
      </c>
      <c r="M426" s="64">
        <f t="shared" si="200"/>
        <v>0</v>
      </c>
      <c r="N426" s="172">
        <f t="shared" si="200"/>
        <v>0</v>
      </c>
      <c r="O426" s="64">
        <f t="shared" si="200"/>
        <v>0</v>
      </c>
      <c r="P426" s="64">
        <f t="shared" si="200"/>
        <v>0</v>
      </c>
      <c r="Q426" s="64">
        <f t="shared" si="200"/>
        <v>0</v>
      </c>
      <c r="R426" s="64">
        <f t="shared" si="200"/>
        <v>0</v>
      </c>
      <c r="S426" s="64">
        <f t="shared" si="200"/>
        <v>0</v>
      </c>
    </row>
    <row r="427" spans="1:19" s="25" customFormat="1" ht="25.5" hidden="1">
      <c r="A427" s="5"/>
      <c r="B427" s="66"/>
      <c r="C427" s="41" t="s">
        <v>11</v>
      </c>
      <c r="D427" s="67" t="s">
        <v>12</v>
      </c>
      <c r="E427" s="93"/>
      <c r="F427" s="93">
        <f>E427+SUM(G427:Q427)</f>
        <v>0</v>
      </c>
      <c r="G427" s="64"/>
      <c r="H427" s="64"/>
      <c r="I427" s="154"/>
      <c r="J427" s="65"/>
      <c r="K427" s="64"/>
      <c r="L427" s="64"/>
      <c r="M427" s="64"/>
      <c r="N427" s="172"/>
      <c r="O427" s="64"/>
      <c r="P427" s="64"/>
      <c r="Q427" s="64"/>
      <c r="R427" s="64"/>
      <c r="S427" s="64"/>
    </row>
    <row r="428" spans="1:19" s="25" customFormat="1" ht="70.5" customHeight="1">
      <c r="A428" s="17"/>
      <c r="B428" s="63" t="s">
        <v>273</v>
      </c>
      <c r="C428" s="11"/>
      <c r="D428" s="60" t="s">
        <v>123</v>
      </c>
      <c r="E428" s="95">
        <f>E429+E445+E449</f>
        <v>23602.3</v>
      </c>
      <c r="F428" s="95">
        <f aca="true" t="shared" si="201" ref="F428:Q428">F429+F445+F449</f>
        <v>24680.085</v>
      </c>
      <c r="G428" s="95">
        <f t="shared" si="201"/>
        <v>0</v>
      </c>
      <c r="H428" s="95">
        <f t="shared" si="201"/>
        <v>395</v>
      </c>
      <c r="I428" s="131">
        <f t="shared" si="201"/>
        <v>0</v>
      </c>
      <c r="J428" s="95">
        <f t="shared" si="201"/>
        <v>0</v>
      </c>
      <c r="K428" s="95">
        <f t="shared" si="201"/>
        <v>0</v>
      </c>
      <c r="L428" s="95">
        <f t="shared" si="201"/>
        <v>34</v>
      </c>
      <c r="M428" s="95">
        <f t="shared" si="201"/>
        <v>300</v>
      </c>
      <c r="N428" s="169">
        <f t="shared" si="201"/>
        <v>0</v>
      </c>
      <c r="O428" s="95">
        <f t="shared" si="201"/>
        <v>3.7849999999999966</v>
      </c>
      <c r="P428" s="95">
        <f t="shared" si="201"/>
        <v>45</v>
      </c>
      <c r="Q428" s="95">
        <f t="shared" si="201"/>
        <v>300</v>
      </c>
      <c r="R428" s="95">
        <f>R429+R445+R449</f>
        <v>560</v>
      </c>
      <c r="S428" s="95">
        <f>S429+S445+S449</f>
        <v>0</v>
      </c>
    </row>
    <row r="429" spans="1:19" s="25" customFormat="1" ht="12.75">
      <c r="A429" s="17"/>
      <c r="B429" s="82" t="s">
        <v>274</v>
      </c>
      <c r="C429" s="41"/>
      <c r="D429" s="61" t="s">
        <v>124</v>
      </c>
      <c r="E429" s="79">
        <f>E430+E433+E436+E439+E442</f>
        <v>23312.3</v>
      </c>
      <c r="F429" s="79">
        <f aca="true" t="shared" si="202" ref="F429:Q429">F430+F433+F436+F439+F442</f>
        <v>24386.3</v>
      </c>
      <c r="G429" s="79">
        <f t="shared" si="202"/>
        <v>0</v>
      </c>
      <c r="H429" s="79">
        <f t="shared" si="202"/>
        <v>395</v>
      </c>
      <c r="I429" s="96">
        <f t="shared" si="202"/>
        <v>0</v>
      </c>
      <c r="J429" s="79">
        <f t="shared" si="202"/>
        <v>0</v>
      </c>
      <c r="K429" s="79">
        <f t="shared" si="202"/>
        <v>0</v>
      </c>
      <c r="L429" s="79">
        <f t="shared" si="202"/>
        <v>34</v>
      </c>
      <c r="M429" s="79">
        <f t="shared" si="202"/>
        <v>300</v>
      </c>
      <c r="N429" s="170">
        <f t="shared" si="202"/>
        <v>0</v>
      </c>
      <c r="O429" s="79">
        <f t="shared" si="202"/>
        <v>0</v>
      </c>
      <c r="P429" s="79">
        <f t="shared" si="202"/>
        <v>45</v>
      </c>
      <c r="Q429" s="79">
        <f t="shared" si="202"/>
        <v>300</v>
      </c>
      <c r="R429" s="79">
        <f>R430+R433+R436+R439+R442</f>
        <v>400</v>
      </c>
      <c r="S429" s="79">
        <f>S430+S433+S436+S439+S442</f>
        <v>0</v>
      </c>
    </row>
    <row r="430" spans="1:19" s="25" customFormat="1" ht="38.25" hidden="1">
      <c r="A430" s="17"/>
      <c r="B430" s="66" t="s">
        <v>275</v>
      </c>
      <c r="C430" s="41"/>
      <c r="D430" s="57" t="s">
        <v>277</v>
      </c>
      <c r="E430" s="79">
        <f>E431</f>
        <v>10124.6</v>
      </c>
      <c r="F430" s="79">
        <f>F431</f>
        <v>10469.6</v>
      </c>
      <c r="G430" s="68">
        <f aca="true" t="shared" si="203" ref="F430:S431">G431</f>
        <v>0</v>
      </c>
      <c r="H430" s="68">
        <f t="shared" si="203"/>
        <v>0</v>
      </c>
      <c r="I430" s="70">
        <f t="shared" si="203"/>
        <v>0</v>
      </c>
      <c r="J430" s="68">
        <f t="shared" si="203"/>
        <v>0</v>
      </c>
      <c r="K430" s="68">
        <f t="shared" si="203"/>
        <v>0</v>
      </c>
      <c r="L430" s="68">
        <f t="shared" si="203"/>
        <v>0</v>
      </c>
      <c r="M430" s="68">
        <f t="shared" si="203"/>
        <v>0</v>
      </c>
      <c r="N430" s="168">
        <f t="shared" si="203"/>
        <v>0</v>
      </c>
      <c r="O430" s="68">
        <f t="shared" si="203"/>
        <v>0</v>
      </c>
      <c r="P430" s="68">
        <f t="shared" si="203"/>
        <v>45</v>
      </c>
      <c r="Q430" s="68">
        <f t="shared" si="203"/>
        <v>300</v>
      </c>
      <c r="R430" s="68">
        <f t="shared" si="203"/>
        <v>0</v>
      </c>
      <c r="S430" s="68">
        <f t="shared" si="203"/>
        <v>0</v>
      </c>
    </row>
    <row r="431" spans="1:19" s="25" customFormat="1" ht="25.5" hidden="1">
      <c r="A431" s="17"/>
      <c r="B431" s="66" t="s">
        <v>276</v>
      </c>
      <c r="C431" s="41"/>
      <c r="D431" s="57" t="s">
        <v>278</v>
      </c>
      <c r="E431" s="79">
        <f>E432</f>
        <v>10124.6</v>
      </c>
      <c r="F431" s="79">
        <f t="shared" si="203"/>
        <v>10469.6</v>
      </c>
      <c r="G431" s="68">
        <f t="shared" si="203"/>
        <v>0</v>
      </c>
      <c r="H431" s="68">
        <f t="shared" si="203"/>
        <v>0</v>
      </c>
      <c r="I431" s="70">
        <f t="shared" si="203"/>
        <v>0</v>
      </c>
      <c r="J431" s="68">
        <f t="shared" si="203"/>
        <v>0</v>
      </c>
      <c r="K431" s="68">
        <f t="shared" si="203"/>
        <v>0</v>
      </c>
      <c r="L431" s="68">
        <f t="shared" si="203"/>
        <v>0</v>
      </c>
      <c r="M431" s="68">
        <f t="shared" si="203"/>
        <v>0</v>
      </c>
      <c r="N431" s="168">
        <f t="shared" si="203"/>
        <v>0</v>
      </c>
      <c r="O431" s="68">
        <f t="shared" si="203"/>
        <v>0</v>
      </c>
      <c r="P431" s="68">
        <f t="shared" si="203"/>
        <v>45</v>
      </c>
      <c r="Q431" s="68">
        <f t="shared" si="203"/>
        <v>300</v>
      </c>
      <c r="R431" s="68">
        <f t="shared" si="203"/>
        <v>0</v>
      </c>
      <c r="S431" s="68">
        <f t="shared" si="203"/>
        <v>0</v>
      </c>
    </row>
    <row r="432" spans="1:19" s="25" customFormat="1" ht="25.5" hidden="1">
      <c r="A432" s="17"/>
      <c r="B432" s="66"/>
      <c r="C432" s="41" t="s">
        <v>11</v>
      </c>
      <c r="D432" s="67" t="s">
        <v>12</v>
      </c>
      <c r="E432" s="79">
        <f>10124.6</f>
        <v>10124.6</v>
      </c>
      <c r="F432" s="93">
        <f>E432+SUM(G432:S432)</f>
        <v>10469.6</v>
      </c>
      <c r="G432" s="68"/>
      <c r="H432" s="68"/>
      <c r="I432" s="153"/>
      <c r="J432" s="69"/>
      <c r="K432" s="68"/>
      <c r="L432" s="70"/>
      <c r="M432" s="68">
        <f>-13.9876+13.9876</f>
        <v>0</v>
      </c>
      <c r="N432" s="168"/>
      <c r="O432" s="68"/>
      <c r="P432" s="68">
        <v>45</v>
      </c>
      <c r="Q432" s="68">
        <v>300</v>
      </c>
      <c r="R432" s="68"/>
      <c r="S432" s="68"/>
    </row>
    <row r="433" spans="1:19" s="25" customFormat="1" ht="38.25" hidden="1">
      <c r="A433" s="17"/>
      <c r="B433" s="66" t="s">
        <v>279</v>
      </c>
      <c r="C433" s="41"/>
      <c r="D433" s="67" t="s">
        <v>281</v>
      </c>
      <c r="E433" s="79">
        <f>E434</f>
        <v>6519.9</v>
      </c>
      <c r="F433" s="79">
        <f aca="true" t="shared" si="204" ref="F433:S434">F434</f>
        <v>6519.9</v>
      </c>
      <c r="G433" s="68">
        <f t="shared" si="204"/>
        <v>0</v>
      </c>
      <c r="H433" s="68">
        <f t="shared" si="204"/>
        <v>0</v>
      </c>
      <c r="I433" s="70">
        <f t="shared" si="204"/>
        <v>0</v>
      </c>
      <c r="J433" s="68">
        <f t="shared" si="204"/>
        <v>0</v>
      </c>
      <c r="K433" s="68">
        <f t="shared" si="204"/>
        <v>0</v>
      </c>
      <c r="L433" s="68">
        <f t="shared" si="204"/>
        <v>0</v>
      </c>
      <c r="M433" s="68">
        <f t="shared" si="204"/>
        <v>0</v>
      </c>
      <c r="N433" s="168">
        <f t="shared" si="204"/>
        <v>0</v>
      </c>
      <c r="O433" s="68">
        <f t="shared" si="204"/>
        <v>0</v>
      </c>
      <c r="P433" s="68">
        <f t="shared" si="204"/>
        <v>0</v>
      </c>
      <c r="Q433" s="68">
        <f t="shared" si="204"/>
        <v>0</v>
      </c>
      <c r="R433" s="68">
        <f t="shared" si="204"/>
        <v>0</v>
      </c>
      <c r="S433" s="68">
        <f t="shared" si="204"/>
        <v>0</v>
      </c>
    </row>
    <row r="434" spans="1:19" s="25" customFormat="1" ht="25.5" hidden="1">
      <c r="A434" s="17"/>
      <c r="B434" s="41" t="s">
        <v>280</v>
      </c>
      <c r="C434" s="41"/>
      <c r="D434" s="57" t="s">
        <v>278</v>
      </c>
      <c r="E434" s="79">
        <f>E435</f>
        <v>6519.9</v>
      </c>
      <c r="F434" s="79">
        <f t="shared" si="204"/>
        <v>6519.9</v>
      </c>
      <c r="G434" s="68">
        <f t="shared" si="204"/>
        <v>0</v>
      </c>
      <c r="H434" s="68">
        <f t="shared" si="204"/>
        <v>0</v>
      </c>
      <c r="I434" s="70">
        <f t="shared" si="204"/>
        <v>0</v>
      </c>
      <c r="J434" s="68">
        <f t="shared" si="204"/>
        <v>0</v>
      </c>
      <c r="K434" s="68">
        <f t="shared" si="204"/>
        <v>0</v>
      </c>
      <c r="L434" s="68">
        <f t="shared" si="204"/>
        <v>0</v>
      </c>
      <c r="M434" s="68">
        <f t="shared" si="204"/>
        <v>0</v>
      </c>
      <c r="N434" s="168">
        <f t="shared" si="204"/>
        <v>0</v>
      </c>
      <c r="O434" s="68">
        <f t="shared" si="204"/>
        <v>0</v>
      </c>
      <c r="P434" s="68">
        <f t="shared" si="204"/>
        <v>0</v>
      </c>
      <c r="Q434" s="68">
        <f t="shared" si="204"/>
        <v>0</v>
      </c>
      <c r="R434" s="68">
        <f t="shared" si="204"/>
        <v>0</v>
      </c>
      <c r="S434" s="68">
        <f t="shared" si="204"/>
        <v>0</v>
      </c>
    </row>
    <row r="435" spans="1:19" s="25" customFormat="1" ht="25.5" hidden="1">
      <c r="A435" s="17"/>
      <c r="B435" s="66"/>
      <c r="C435" s="41" t="s">
        <v>11</v>
      </c>
      <c r="D435" s="67" t="s">
        <v>12</v>
      </c>
      <c r="E435" s="79">
        <f>4697.2+3822.7-2000</f>
        <v>6519.9</v>
      </c>
      <c r="F435" s="93">
        <f>E435+SUM(G435:Q435)</f>
        <v>6519.9</v>
      </c>
      <c r="G435" s="68"/>
      <c r="H435" s="68"/>
      <c r="I435" s="153"/>
      <c r="J435" s="69"/>
      <c r="K435" s="68"/>
      <c r="L435" s="68"/>
      <c r="M435" s="68"/>
      <c r="N435" s="168"/>
      <c r="O435" s="68"/>
      <c r="P435" s="68"/>
      <c r="Q435" s="68"/>
      <c r="R435" s="68"/>
      <c r="S435" s="68"/>
    </row>
    <row r="436" spans="1:19" s="25" customFormat="1" ht="38.25" hidden="1">
      <c r="A436" s="17"/>
      <c r="B436" s="66" t="s">
        <v>282</v>
      </c>
      <c r="C436" s="41"/>
      <c r="D436" s="57" t="s">
        <v>284</v>
      </c>
      <c r="E436" s="79">
        <f>E437</f>
        <v>6074</v>
      </c>
      <c r="F436" s="79">
        <f aca="true" t="shared" si="205" ref="F436:S437">F437</f>
        <v>6074</v>
      </c>
      <c r="G436" s="68">
        <f t="shared" si="205"/>
        <v>0</v>
      </c>
      <c r="H436" s="68">
        <f t="shared" si="205"/>
        <v>0</v>
      </c>
      <c r="I436" s="70">
        <f t="shared" si="205"/>
        <v>0</v>
      </c>
      <c r="J436" s="68">
        <f t="shared" si="205"/>
        <v>0</v>
      </c>
      <c r="K436" s="68">
        <f t="shared" si="205"/>
        <v>0</v>
      </c>
      <c r="L436" s="68">
        <f t="shared" si="205"/>
        <v>0</v>
      </c>
      <c r="M436" s="68">
        <f t="shared" si="205"/>
        <v>0</v>
      </c>
      <c r="N436" s="168">
        <f t="shared" si="205"/>
        <v>0</v>
      </c>
      <c r="O436" s="68">
        <f t="shared" si="205"/>
        <v>0</v>
      </c>
      <c r="P436" s="68">
        <f t="shared" si="205"/>
        <v>0</v>
      </c>
      <c r="Q436" s="68">
        <f t="shared" si="205"/>
        <v>0</v>
      </c>
      <c r="R436" s="68">
        <f t="shared" si="205"/>
        <v>0</v>
      </c>
      <c r="S436" s="68">
        <f t="shared" si="205"/>
        <v>0</v>
      </c>
    </row>
    <row r="437" spans="1:19" s="25" customFormat="1" ht="25.5" hidden="1">
      <c r="A437" s="17"/>
      <c r="B437" s="66" t="s">
        <v>283</v>
      </c>
      <c r="C437" s="41"/>
      <c r="D437" s="57" t="s">
        <v>278</v>
      </c>
      <c r="E437" s="79">
        <f>E438</f>
        <v>6074</v>
      </c>
      <c r="F437" s="79">
        <f t="shared" si="205"/>
        <v>6074</v>
      </c>
      <c r="G437" s="68">
        <f t="shared" si="205"/>
        <v>0</v>
      </c>
      <c r="H437" s="68">
        <f t="shared" si="205"/>
        <v>0</v>
      </c>
      <c r="I437" s="70">
        <f t="shared" si="205"/>
        <v>0</v>
      </c>
      <c r="J437" s="68">
        <f t="shared" si="205"/>
        <v>0</v>
      </c>
      <c r="K437" s="68">
        <f t="shared" si="205"/>
        <v>0</v>
      </c>
      <c r="L437" s="68">
        <f t="shared" si="205"/>
        <v>0</v>
      </c>
      <c r="M437" s="68">
        <f t="shared" si="205"/>
        <v>0</v>
      </c>
      <c r="N437" s="168">
        <f t="shared" si="205"/>
        <v>0</v>
      </c>
      <c r="O437" s="68">
        <f t="shared" si="205"/>
        <v>0</v>
      </c>
      <c r="P437" s="68">
        <f t="shared" si="205"/>
        <v>0</v>
      </c>
      <c r="Q437" s="68">
        <f t="shared" si="205"/>
        <v>0</v>
      </c>
      <c r="R437" s="68">
        <f t="shared" si="205"/>
        <v>0</v>
      </c>
      <c r="S437" s="68">
        <f t="shared" si="205"/>
        <v>0</v>
      </c>
    </row>
    <row r="438" spans="1:19" s="25" customFormat="1" ht="25.5" hidden="1">
      <c r="A438" s="17"/>
      <c r="B438" s="66"/>
      <c r="C438" s="41" t="s">
        <v>11</v>
      </c>
      <c r="D438" s="67" t="s">
        <v>12</v>
      </c>
      <c r="E438" s="79">
        <f>6074</f>
        <v>6074</v>
      </c>
      <c r="F438" s="93">
        <f>E438+SUM(G438:Q438)</f>
        <v>6074</v>
      </c>
      <c r="G438" s="68"/>
      <c r="H438" s="68"/>
      <c r="I438" s="153"/>
      <c r="J438" s="69"/>
      <c r="K438" s="68"/>
      <c r="L438" s="68"/>
      <c r="M438" s="68"/>
      <c r="N438" s="168"/>
      <c r="O438" s="68"/>
      <c r="P438" s="68"/>
      <c r="Q438" s="68"/>
      <c r="R438" s="68"/>
      <c r="S438" s="68"/>
    </row>
    <row r="439" spans="1:19" s="25" customFormat="1" ht="32.25" customHeight="1">
      <c r="A439" s="17"/>
      <c r="B439" s="66" t="s">
        <v>285</v>
      </c>
      <c r="C439" s="41"/>
      <c r="D439" s="67" t="s">
        <v>287</v>
      </c>
      <c r="E439" s="79">
        <f>E440</f>
        <v>539.6</v>
      </c>
      <c r="F439" s="79">
        <f aca="true" t="shared" si="206" ref="F439:S440">F440</f>
        <v>1268.6</v>
      </c>
      <c r="G439" s="68">
        <f t="shared" si="206"/>
        <v>0</v>
      </c>
      <c r="H439" s="68">
        <f t="shared" si="206"/>
        <v>395</v>
      </c>
      <c r="I439" s="70">
        <f t="shared" si="206"/>
        <v>0</v>
      </c>
      <c r="J439" s="68">
        <f t="shared" si="206"/>
        <v>0</v>
      </c>
      <c r="K439" s="68">
        <f t="shared" si="206"/>
        <v>0</v>
      </c>
      <c r="L439" s="68">
        <f t="shared" si="206"/>
        <v>34</v>
      </c>
      <c r="M439" s="68">
        <f t="shared" si="206"/>
        <v>300</v>
      </c>
      <c r="N439" s="168">
        <f t="shared" si="206"/>
        <v>0</v>
      </c>
      <c r="O439" s="68">
        <f t="shared" si="206"/>
        <v>0</v>
      </c>
      <c r="P439" s="68">
        <f t="shared" si="206"/>
        <v>0</v>
      </c>
      <c r="Q439" s="68">
        <f t="shared" si="206"/>
        <v>0</v>
      </c>
      <c r="R439" s="68">
        <f t="shared" si="206"/>
        <v>400</v>
      </c>
      <c r="S439" s="68">
        <f t="shared" si="206"/>
        <v>0</v>
      </c>
    </row>
    <row r="440" spans="1:19" s="25" customFormat="1" ht="20.25" customHeight="1">
      <c r="A440" s="17"/>
      <c r="B440" s="66" t="s">
        <v>286</v>
      </c>
      <c r="C440" s="41"/>
      <c r="D440" s="75" t="s">
        <v>288</v>
      </c>
      <c r="E440" s="79">
        <f>E441</f>
        <v>539.6</v>
      </c>
      <c r="F440" s="79">
        <f t="shared" si="206"/>
        <v>1268.6</v>
      </c>
      <c r="G440" s="68">
        <f t="shared" si="206"/>
        <v>0</v>
      </c>
      <c r="H440" s="68">
        <f t="shared" si="206"/>
        <v>395</v>
      </c>
      <c r="I440" s="70">
        <f t="shared" si="206"/>
        <v>0</v>
      </c>
      <c r="J440" s="68">
        <f t="shared" si="206"/>
        <v>0</v>
      </c>
      <c r="K440" s="68">
        <f t="shared" si="206"/>
        <v>0</v>
      </c>
      <c r="L440" s="68">
        <f t="shared" si="206"/>
        <v>34</v>
      </c>
      <c r="M440" s="68">
        <f t="shared" si="206"/>
        <v>300</v>
      </c>
      <c r="N440" s="168">
        <f t="shared" si="206"/>
        <v>0</v>
      </c>
      <c r="O440" s="68">
        <f t="shared" si="206"/>
        <v>0</v>
      </c>
      <c r="P440" s="68">
        <f t="shared" si="206"/>
        <v>0</v>
      </c>
      <c r="Q440" s="68">
        <f t="shared" si="206"/>
        <v>0</v>
      </c>
      <c r="R440" s="68">
        <f t="shared" si="206"/>
        <v>400</v>
      </c>
      <c r="S440" s="68">
        <f t="shared" si="206"/>
        <v>0</v>
      </c>
    </row>
    <row r="441" spans="1:19" s="25" customFormat="1" ht="25.5">
      <c r="A441" s="17"/>
      <c r="B441" s="66"/>
      <c r="C441" s="41" t="s">
        <v>3</v>
      </c>
      <c r="D441" s="67" t="s">
        <v>95</v>
      </c>
      <c r="E441" s="79">
        <f>539.6</f>
        <v>539.6</v>
      </c>
      <c r="F441" s="93">
        <f>E441+SUM(G441:Q441)</f>
        <v>1268.6</v>
      </c>
      <c r="G441" s="68"/>
      <c r="H441" s="68">
        <v>395</v>
      </c>
      <c r="I441" s="153"/>
      <c r="J441" s="69"/>
      <c r="K441" s="68"/>
      <c r="L441" s="68">
        <f>34</f>
        <v>34</v>
      </c>
      <c r="M441" s="68">
        <v>300</v>
      </c>
      <c r="N441" s="168"/>
      <c r="O441" s="68"/>
      <c r="P441" s="68"/>
      <c r="Q441" s="68"/>
      <c r="R441" s="68">
        <v>400</v>
      </c>
      <c r="S441" s="68"/>
    </row>
    <row r="442" spans="1:20" s="25" customFormat="1" ht="38.25" hidden="1">
      <c r="A442" s="17"/>
      <c r="B442" s="66" t="s">
        <v>289</v>
      </c>
      <c r="C442" s="41"/>
      <c r="D442" s="57" t="s">
        <v>291</v>
      </c>
      <c r="E442" s="79">
        <f>E443</f>
        <v>54.2</v>
      </c>
      <c r="F442" s="79">
        <f aca="true" t="shared" si="207" ref="F442:S443">F443</f>
        <v>54.2</v>
      </c>
      <c r="G442" s="68">
        <f t="shared" si="207"/>
        <v>0</v>
      </c>
      <c r="H442" s="68">
        <f t="shared" si="207"/>
        <v>0</v>
      </c>
      <c r="I442" s="70">
        <f t="shared" si="207"/>
        <v>0</v>
      </c>
      <c r="J442" s="68">
        <f t="shared" si="207"/>
        <v>0</v>
      </c>
      <c r="K442" s="68">
        <f t="shared" si="207"/>
        <v>0</v>
      </c>
      <c r="L442" s="68">
        <f t="shared" si="207"/>
        <v>0</v>
      </c>
      <c r="M442" s="68">
        <f t="shared" si="207"/>
        <v>0</v>
      </c>
      <c r="N442" s="168">
        <f t="shared" si="207"/>
        <v>0</v>
      </c>
      <c r="O442" s="68">
        <f t="shared" si="207"/>
        <v>0</v>
      </c>
      <c r="P442" s="68">
        <f t="shared" si="207"/>
        <v>0</v>
      </c>
      <c r="Q442" s="68">
        <f t="shared" si="207"/>
        <v>0</v>
      </c>
      <c r="R442" s="68">
        <f t="shared" si="207"/>
        <v>0</v>
      </c>
      <c r="S442" s="68">
        <f t="shared" si="207"/>
        <v>0</v>
      </c>
      <c r="T442" s="8"/>
    </row>
    <row r="443" spans="1:20" s="25" customFormat="1" ht="44.25" customHeight="1" hidden="1">
      <c r="A443" s="17"/>
      <c r="B443" s="66" t="s">
        <v>290</v>
      </c>
      <c r="C443" s="41"/>
      <c r="D443" s="57" t="s">
        <v>292</v>
      </c>
      <c r="E443" s="79">
        <f>E444</f>
        <v>54.2</v>
      </c>
      <c r="F443" s="79">
        <f t="shared" si="207"/>
        <v>54.2</v>
      </c>
      <c r="G443" s="68">
        <f t="shared" si="207"/>
        <v>0</v>
      </c>
      <c r="H443" s="68">
        <f t="shared" si="207"/>
        <v>0</v>
      </c>
      <c r="I443" s="70">
        <f t="shared" si="207"/>
        <v>0</v>
      </c>
      <c r="J443" s="68">
        <f t="shared" si="207"/>
        <v>0</v>
      </c>
      <c r="K443" s="68">
        <f t="shared" si="207"/>
        <v>0</v>
      </c>
      <c r="L443" s="68">
        <f t="shared" si="207"/>
        <v>0</v>
      </c>
      <c r="M443" s="68">
        <f t="shared" si="207"/>
        <v>0</v>
      </c>
      <c r="N443" s="168">
        <f t="shared" si="207"/>
        <v>0</v>
      </c>
      <c r="O443" s="68">
        <f t="shared" si="207"/>
        <v>0</v>
      </c>
      <c r="P443" s="68">
        <f t="shared" si="207"/>
        <v>0</v>
      </c>
      <c r="Q443" s="68">
        <f t="shared" si="207"/>
        <v>0</v>
      </c>
      <c r="R443" s="68">
        <f t="shared" si="207"/>
        <v>0</v>
      </c>
      <c r="S443" s="68">
        <f t="shared" si="207"/>
        <v>0</v>
      </c>
      <c r="T443" s="8"/>
    </row>
    <row r="444" spans="1:20" s="25" customFormat="1" ht="25.5" hidden="1">
      <c r="A444" s="17"/>
      <c r="B444" s="66"/>
      <c r="C444" s="41" t="s">
        <v>3</v>
      </c>
      <c r="D444" s="67" t="s">
        <v>95</v>
      </c>
      <c r="E444" s="79">
        <f>54.2</f>
        <v>54.2</v>
      </c>
      <c r="F444" s="93">
        <f>E444+SUM(G444:Q444)</f>
        <v>54.2</v>
      </c>
      <c r="G444" s="68"/>
      <c r="H444" s="68"/>
      <c r="I444" s="153"/>
      <c r="J444" s="69"/>
      <c r="K444" s="68"/>
      <c r="L444" s="68"/>
      <c r="M444" s="68"/>
      <c r="N444" s="168"/>
      <c r="O444" s="68"/>
      <c r="P444" s="68"/>
      <c r="Q444" s="68"/>
      <c r="R444" s="68"/>
      <c r="S444" s="68"/>
      <c r="T444" s="8"/>
    </row>
    <row r="445" spans="1:19" s="25" customFormat="1" ht="25.5">
      <c r="A445" s="17"/>
      <c r="B445" s="82" t="s">
        <v>311</v>
      </c>
      <c r="C445" s="41"/>
      <c r="D445" s="61" t="s">
        <v>127</v>
      </c>
      <c r="E445" s="79">
        <f aca="true" t="shared" si="208" ref="E445:S447">E446</f>
        <v>100</v>
      </c>
      <c r="F445" s="79">
        <f t="shared" si="208"/>
        <v>163.785</v>
      </c>
      <c r="G445" s="68">
        <f t="shared" si="208"/>
        <v>0</v>
      </c>
      <c r="H445" s="68">
        <f t="shared" si="208"/>
        <v>0</v>
      </c>
      <c r="I445" s="70">
        <f t="shared" si="208"/>
        <v>0</v>
      </c>
      <c r="J445" s="68">
        <f t="shared" si="208"/>
        <v>0</v>
      </c>
      <c r="K445" s="68">
        <f t="shared" si="208"/>
        <v>0</v>
      </c>
      <c r="L445" s="68">
        <f t="shared" si="208"/>
        <v>0</v>
      </c>
      <c r="M445" s="68">
        <f t="shared" si="208"/>
        <v>0</v>
      </c>
      <c r="N445" s="168">
        <f t="shared" si="208"/>
        <v>0</v>
      </c>
      <c r="O445" s="68">
        <f t="shared" si="208"/>
        <v>63.785</v>
      </c>
      <c r="P445" s="68">
        <f t="shared" si="208"/>
        <v>0</v>
      </c>
      <c r="Q445" s="68">
        <f t="shared" si="208"/>
        <v>0</v>
      </c>
      <c r="R445" s="68">
        <f t="shared" si="208"/>
        <v>160</v>
      </c>
      <c r="S445" s="68">
        <f t="shared" si="208"/>
        <v>0</v>
      </c>
    </row>
    <row r="446" spans="1:19" s="25" customFormat="1" ht="25.5">
      <c r="A446" s="17"/>
      <c r="B446" s="66" t="s">
        <v>312</v>
      </c>
      <c r="C446" s="41"/>
      <c r="D446" s="57" t="s">
        <v>314</v>
      </c>
      <c r="E446" s="79">
        <f t="shared" si="208"/>
        <v>100</v>
      </c>
      <c r="F446" s="79">
        <f t="shared" si="208"/>
        <v>163.785</v>
      </c>
      <c r="G446" s="68">
        <f t="shared" si="208"/>
        <v>0</v>
      </c>
      <c r="H446" s="68">
        <f t="shared" si="208"/>
        <v>0</v>
      </c>
      <c r="I446" s="70">
        <f t="shared" si="208"/>
        <v>0</v>
      </c>
      <c r="J446" s="68">
        <f t="shared" si="208"/>
        <v>0</v>
      </c>
      <c r="K446" s="68">
        <f t="shared" si="208"/>
        <v>0</v>
      </c>
      <c r="L446" s="68">
        <f t="shared" si="208"/>
        <v>0</v>
      </c>
      <c r="M446" s="68">
        <f t="shared" si="208"/>
        <v>0</v>
      </c>
      <c r="N446" s="168">
        <f t="shared" si="208"/>
        <v>0</v>
      </c>
      <c r="O446" s="68">
        <f t="shared" si="208"/>
        <v>63.785</v>
      </c>
      <c r="P446" s="68">
        <f t="shared" si="208"/>
        <v>0</v>
      </c>
      <c r="Q446" s="68">
        <f t="shared" si="208"/>
        <v>0</v>
      </c>
      <c r="R446" s="68">
        <f t="shared" si="208"/>
        <v>160</v>
      </c>
      <c r="S446" s="68">
        <f t="shared" si="208"/>
        <v>0</v>
      </c>
    </row>
    <row r="447" spans="1:19" s="25" customFormat="1" ht="51">
      <c r="A447" s="17"/>
      <c r="B447" s="66" t="s">
        <v>313</v>
      </c>
      <c r="C447" s="41"/>
      <c r="D447" s="57" t="s">
        <v>315</v>
      </c>
      <c r="E447" s="79">
        <f t="shared" si="208"/>
        <v>100</v>
      </c>
      <c r="F447" s="79">
        <f t="shared" si="208"/>
        <v>163.785</v>
      </c>
      <c r="G447" s="68">
        <f t="shared" si="208"/>
        <v>0</v>
      </c>
      <c r="H447" s="68">
        <f t="shared" si="208"/>
        <v>0</v>
      </c>
      <c r="I447" s="70">
        <f t="shared" si="208"/>
        <v>0</v>
      </c>
      <c r="J447" s="68">
        <f t="shared" si="208"/>
        <v>0</v>
      </c>
      <c r="K447" s="68">
        <f t="shared" si="208"/>
        <v>0</v>
      </c>
      <c r="L447" s="68">
        <f t="shared" si="208"/>
        <v>0</v>
      </c>
      <c r="M447" s="68">
        <f t="shared" si="208"/>
        <v>0</v>
      </c>
      <c r="N447" s="168">
        <f t="shared" si="208"/>
        <v>0</v>
      </c>
      <c r="O447" s="68">
        <f t="shared" si="208"/>
        <v>63.785</v>
      </c>
      <c r="P447" s="68">
        <f t="shared" si="208"/>
        <v>0</v>
      </c>
      <c r="Q447" s="68">
        <f t="shared" si="208"/>
        <v>0</v>
      </c>
      <c r="R447" s="68">
        <f t="shared" si="208"/>
        <v>160</v>
      </c>
      <c r="S447" s="68">
        <f t="shared" si="208"/>
        <v>0</v>
      </c>
    </row>
    <row r="448" spans="1:19" s="25" customFormat="1" ht="25.5">
      <c r="A448" s="17"/>
      <c r="B448" s="66"/>
      <c r="C448" s="41" t="s">
        <v>11</v>
      </c>
      <c r="D448" s="67" t="s">
        <v>12</v>
      </c>
      <c r="E448" s="79">
        <v>100</v>
      </c>
      <c r="F448" s="93">
        <f>E448+SUM(G448:Q448)</f>
        <v>163.785</v>
      </c>
      <c r="G448" s="68"/>
      <c r="H448" s="68"/>
      <c r="I448" s="153"/>
      <c r="J448" s="69"/>
      <c r="K448" s="68"/>
      <c r="L448" s="68"/>
      <c r="M448" s="68"/>
      <c r="N448" s="168"/>
      <c r="O448" s="68">
        <v>63.785</v>
      </c>
      <c r="P448" s="68"/>
      <c r="Q448" s="68"/>
      <c r="R448" s="68">
        <v>160</v>
      </c>
      <c r="S448" s="68"/>
    </row>
    <row r="449" spans="1:19" s="25" customFormat="1" ht="51" hidden="1">
      <c r="A449" s="17"/>
      <c r="B449" s="82" t="s">
        <v>509</v>
      </c>
      <c r="C449" s="99"/>
      <c r="D449" s="103" t="s">
        <v>512</v>
      </c>
      <c r="E449" s="79">
        <f>E450</f>
        <v>190</v>
      </c>
      <c r="F449" s="79">
        <f aca="true" t="shared" si="209" ref="F449:S451">F450</f>
        <v>130</v>
      </c>
      <c r="G449" s="79">
        <f t="shared" si="209"/>
        <v>0</v>
      </c>
      <c r="H449" s="79">
        <f t="shared" si="209"/>
        <v>0</v>
      </c>
      <c r="I449" s="96">
        <f t="shared" si="209"/>
        <v>0</v>
      </c>
      <c r="J449" s="79">
        <f t="shared" si="209"/>
        <v>0</v>
      </c>
      <c r="K449" s="79">
        <f t="shared" si="209"/>
        <v>0</v>
      </c>
      <c r="L449" s="79">
        <f t="shared" si="209"/>
        <v>0</v>
      </c>
      <c r="M449" s="79">
        <f t="shared" si="209"/>
        <v>0</v>
      </c>
      <c r="N449" s="170">
        <f t="shared" si="209"/>
        <v>0</v>
      </c>
      <c r="O449" s="79">
        <f t="shared" si="209"/>
        <v>-60</v>
      </c>
      <c r="P449" s="79">
        <f t="shared" si="209"/>
        <v>0</v>
      </c>
      <c r="Q449" s="79">
        <f t="shared" si="209"/>
        <v>0</v>
      </c>
      <c r="R449" s="79">
        <f t="shared" si="209"/>
        <v>0</v>
      </c>
      <c r="S449" s="79">
        <f t="shared" si="209"/>
        <v>0</v>
      </c>
    </row>
    <row r="450" spans="1:19" s="25" customFormat="1" ht="51" hidden="1">
      <c r="A450" s="17"/>
      <c r="B450" s="66" t="s">
        <v>510</v>
      </c>
      <c r="C450" s="41"/>
      <c r="D450" s="67" t="s">
        <v>195</v>
      </c>
      <c r="E450" s="79">
        <f>E451</f>
        <v>190</v>
      </c>
      <c r="F450" s="79">
        <f t="shared" si="209"/>
        <v>130</v>
      </c>
      <c r="G450" s="79">
        <f t="shared" si="209"/>
        <v>0</v>
      </c>
      <c r="H450" s="79">
        <f t="shared" si="209"/>
        <v>0</v>
      </c>
      <c r="I450" s="96">
        <f t="shared" si="209"/>
        <v>0</v>
      </c>
      <c r="J450" s="79">
        <f t="shared" si="209"/>
        <v>0</v>
      </c>
      <c r="K450" s="79">
        <f t="shared" si="209"/>
        <v>0</v>
      </c>
      <c r="L450" s="79">
        <f t="shared" si="209"/>
        <v>0</v>
      </c>
      <c r="M450" s="79">
        <f t="shared" si="209"/>
        <v>0</v>
      </c>
      <c r="N450" s="170">
        <f t="shared" si="209"/>
        <v>0</v>
      </c>
      <c r="O450" s="79">
        <f t="shared" si="209"/>
        <v>-60</v>
      </c>
      <c r="P450" s="79">
        <f t="shared" si="209"/>
        <v>0</v>
      </c>
      <c r="Q450" s="79">
        <f t="shared" si="209"/>
        <v>0</v>
      </c>
      <c r="R450" s="79">
        <f t="shared" si="209"/>
        <v>0</v>
      </c>
      <c r="S450" s="79">
        <f t="shared" si="209"/>
        <v>0</v>
      </c>
    </row>
    <row r="451" spans="1:19" s="25" customFormat="1" ht="38.25" hidden="1">
      <c r="A451" s="17"/>
      <c r="B451" s="66" t="s">
        <v>511</v>
      </c>
      <c r="C451" s="41"/>
      <c r="D451" s="67" t="s">
        <v>513</v>
      </c>
      <c r="E451" s="79">
        <f>E452</f>
        <v>190</v>
      </c>
      <c r="F451" s="79">
        <f t="shared" si="209"/>
        <v>130</v>
      </c>
      <c r="G451" s="79">
        <f t="shared" si="209"/>
        <v>0</v>
      </c>
      <c r="H451" s="79">
        <f t="shared" si="209"/>
        <v>0</v>
      </c>
      <c r="I451" s="96">
        <f t="shared" si="209"/>
        <v>0</v>
      </c>
      <c r="J451" s="79">
        <f t="shared" si="209"/>
        <v>0</v>
      </c>
      <c r="K451" s="79">
        <f t="shared" si="209"/>
        <v>0</v>
      </c>
      <c r="L451" s="79">
        <f t="shared" si="209"/>
        <v>0</v>
      </c>
      <c r="M451" s="79">
        <f t="shared" si="209"/>
        <v>0</v>
      </c>
      <c r="N451" s="170">
        <f t="shared" si="209"/>
        <v>0</v>
      </c>
      <c r="O451" s="79">
        <f t="shared" si="209"/>
        <v>-60</v>
      </c>
      <c r="P451" s="79">
        <f t="shared" si="209"/>
        <v>0</v>
      </c>
      <c r="Q451" s="79">
        <f t="shared" si="209"/>
        <v>0</v>
      </c>
      <c r="R451" s="79">
        <f t="shared" si="209"/>
        <v>0</v>
      </c>
      <c r="S451" s="79">
        <f t="shared" si="209"/>
        <v>0</v>
      </c>
    </row>
    <row r="452" spans="1:19" s="25" customFormat="1" ht="25.5" hidden="1">
      <c r="A452" s="17"/>
      <c r="B452" s="66"/>
      <c r="C452" s="41" t="s">
        <v>11</v>
      </c>
      <c r="D452" s="67" t="s">
        <v>12</v>
      </c>
      <c r="E452" s="79">
        <f>50+80+60</f>
        <v>190</v>
      </c>
      <c r="F452" s="93">
        <f>E452+SUM(G452:Q452)</f>
        <v>130</v>
      </c>
      <c r="G452" s="68"/>
      <c r="H452" s="68"/>
      <c r="I452" s="153"/>
      <c r="J452" s="69"/>
      <c r="K452" s="68"/>
      <c r="L452" s="68"/>
      <c r="M452" s="68"/>
      <c r="N452" s="168"/>
      <c r="O452" s="68">
        <v>-60</v>
      </c>
      <c r="P452" s="68"/>
      <c r="Q452" s="68"/>
      <c r="R452" s="68"/>
      <c r="S452" s="68"/>
    </row>
    <row r="453" spans="1:19" ht="12">
      <c r="A453" s="5" t="s">
        <v>50</v>
      </c>
      <c r="B453" s="16"/>
      <c r="C453" s="5"/>
      <c r="D453" s="13" t="s">
        <v>51</v>
      </c>
      <c r="E453" s="119">
        <f aca="true" t="shared" si="210" ref="E453:Q453">E454+E458</f>
        <v>1146</v>
      </c>
      <c r="F453" s="119">
        <f t="shared" si="210"/>
        <v>1168.1460000000002</v>
      </c>
      <c r="G453" s="26">
        <f t="shared" si="210"/>
        <v>0</v>
      </c>
      <c r="H453" s="26">
        <f t="shared" si="210"/>
        <v>31.6</v>
      </c>
      <c r="I453" s="158">
        <f t="shared" si="210"/>
        <v>0</v>
      </c>
      <c r="J453" s="26">
        <f t="shared" si="210"/>
        <v>0</v>
      </c>
      <c r="K453" s="26">
        <f t="shared" si="210"/>
        <v>0</v>
      </c>
      <c r="L453" s="26">
        <f t="shared" si="210"/>
        <v>54</v>
      </c>
      <c r="M453" s="26">
        <f t="shared" si="210"/>
        <v>0</v>
      </c>
      <c r="N453" s="176">
        <f t="shared" si="210"/>
        <v>-63.454</v>
      </c>
      <c r="O453" s="26">
        <f t="shared" si="210"/>
        <v>0</v>
      </c>
      <c r="P453" s="26">
        <f t="shared" si="210"/>
        <v>0</v>
      </c>
      <c r="Q453" s="26">
        <f t="shared" si="210"/>
        <v>0</v>
      </c>
      <c r="R453" s="26">
        <f>R454+R458</f>
        <v>0</v>
      </c>
      <c r="S453" s="26">
        <f>S454+S458</f>
        <v>0</v>
      </c>
    </row>
    <row r="454" spans="1:19" ht="12" hidden="1">
      <c r="A454" s="5" t="s">
        <v>150</v>
      </c>
      <c r="B454" s="16"/>
      <c r="C454" s="5"/>
      <c r="D454" s="13" t="s">
        <v>149</v>
      </c>
      <c r="E454" s="119">
        <f>E455</f>
        <v>246</v>
      </c>
      <c r="F454" s="119">
        <f aca="true" t="shared" si="211" ref="F454:S456">F455</f>
        <v>277.6</v>
      </c>
      <c r="G454" s="26">
        <f t="shared" si="211"/>
        <v>0</v>
      </c>
      <c r="H454" s="26">
        <f t="shared" si="211"/>
        <v>31.6</v>
      </c>
      <c r="I454" s="158">
        <f t="shared" si="211"/>
        <v>0</v>
      </c>
      <c r="J454" s="26">
        <f t="shared" si="211"/>
        <v>0</v>
      </c>
      <c r="K454" s="26">
        <f t="shared" si="211"/>
        <v>0</v>
      </c>
      <c r="L454" s="26">
        <f t="shared" si="211"/>
        <v>0</v>
      </c>
      <c r="M454" s="26">
        <f t="shared" si="211"/>
        <v>0</v>
      </c>
      <c r="N454" s="176">
        <f t="shared" si="211"/>
        <v>0</v>
      </c>
      <c r="O454" s="26">
        <f t="shared" si="211"/>
        <v>0</v>
      </c>
      <c r="P454" s="26">
        <f t="shared" si="211"/>
        <v>0</v>
      </c>
      <c r="Q454" s="26">
        <f t="shared" si="211"/>
        <v>0</v>
      </c>
      <c r="R454" s="26">
        <f t="shared" si="211"/>
        <v>0</v>
      </c>
      <c r="S454" s="26">
        <f t="shared" si="211"/>
        <v>0</v>
      </c>
    </row>
    <row r="455" spans="1:19" ht="12.75" hidden="1">
      <c r="A455" s="5"/>
      <c r="B455" s="63" t="s">
        <v>432</v>
      </c>
      <c r="C455" s="11"/>
      <c r="D455" s="111" t="s">
        <v>146</v>
      </c>
      <c r="E455" s="95">
        <f>E456</f>
        <v>246</v>
      </c>
      <c r="F455" s="95">
        <f t="shared" si="211"/>
        <v>277.6</v>
      </c>
      <c r="G455" s="73">
        <f t="shared" si="211"/>
        <v>0</v>
      </c>
      <c r="H455" s="73">
        <f t="shared" si="211"/>
        <v>31.6</v>
      </c>
      <c r="I455" s="77">
        <f t="shared" si="211"/>
        <v>0</v>
      </c>
      <c r="J455" s="73">
        <f t="shared" si="211"/>
        <v>0</v>
      </c>
      <c r="K455" s="73">
        <f t="shared" si="211"/>
        <v>0</v>
      </c>
      <c r="L455" s="73">
        <f t="shared" si="211"/>
        <v>0</v>
      </c>
      <c r="M455" s="73">
        <f t="shared" si="211"/>
        <v>0</v>
      </c>
      <c r="N455" s="123">
        <f t="shared" si="211"/>
        <v>0</v>
      </c>
      <c r="O455" s="73">
        <f t="shared" si="211"/>
        <v>0</v>
      </c>
      <c r="P455" s="73">
        <f t="shared" si="211"/>
        <v>0</v>
      </c>
      <c r="Q455" s="73">
        <f t="shared" si="211"/>
        <v>0</v>
      </c>
      <c r="R455" s="73">
        <f t="shared" si="211"/>
        <v>0</v>
      </c>
      <c r="S455" s="73">
        <f t="shared" si="211"/>
        <v>0</v>
      </c>
    </row>
    <row r="456" spans="1:19" ht="51" hidden="1">
      <c r="A456" s="17"/>
      <c r="B456" s="66" t="s">
        <v>436</v>
      </c>
      <c r="C456" s="41"/>
      <c r="D456" s="75" t="s">
        <v>147</v>
      </c>
      <c r="E456" s="79">
        <f>E457</f>
        <v>246</v>
      </c>
      <c r="F456" s="79">
        <f t="shared" si="211"/>
        <v>277.6</v>
      </c>
      <c r="G456" s="68">
        <f t="shared" si="211"/>
        <v>0</v>
      </c>
      <c r="H456" s="68">
        <f t="shared" si="211"/>
        <v>31.6</v>
      </c>
      <c r="I456" s="70">
        <f t="shared" si="211"/>
        <v>0</v>
      </c>
      <c r="J456" s="68">
        <f t="shared" si="211"/>
        <v>0</v>
      </c>
      <c r="K456" s="68">
        <f t="shared" si="211"/>
        <v>0</v>
      </c>
      <c r="L456" s="68">
        <f t="shared" si="211"/>
        <v>0</v>
      </c>
      <c r="M456" s="68">
        <f t="shared" si="211"/>
        <v>0</v>
      </c>
      <c r="N456" s="168">
        <f t="shared" si="211"/>
        <v>0</v>
      </c>
      <c r="O456" s="68">
        <f t="shared" si="211"/>
        <v>0</v>
      </c>
      <c r="P456" s="68">
        <f t="shared" si="211"/>
        <v>0</v>
      </c>
      <c r="Q456" s="68">
        <f t="shared" si="211"/>
        <v>0</v>
      </c>
      <c r="R456" s="68">
        <f t="shared" si="211"/>
        <v>0</v>
      </c>
      <c r="S456" s="68">
        <f t="shared" si="211"/>
        <v>0</v>
      </c>
    </row>
    <row r="457" spans="1:19" ht="12.75" hidden="1">
      <c r="A457" s="17"/>
      <c r="B457" s="66"/>
      <c r="C457" s="41" t="s">
        <v>6</v>
      </c>
      <c r="D457" s="67" t="s">
        <v>7</v>
      </c>
      <c r="E457" s="79">
        <f>246</f>
        <v>246</v>
      </c>
      <c r="F457" s="93">
        <f>E457+SUM(G457:Q457)</f>
        <v>277.6</v>
      </c>
      <c r="G457" s="68"/>
      <c r="H457" s="68">
        <v>31.6</v>
      </c>
      <c r="I457" s="153"/>
      <c r="J457" s="69"/>
      <c r="K457" s="68"/>
      <c r="L457" s="68"/>
      <c r="M457" s="68"/>
      <c r="N457" s="168"/>
      <c r="O457" s="68"/>
      <c r="P457" s="68"/>
      <c r="Q457" s="68"/>
      <c r="R457" s="68"/>
      <c r="S457" s="68"/>
    </row>
    <row r="458" spans="1:19" ht="12">
      <c r="A458" s="5" t="s">
        <v>52</v>
      </c>
      <c r="B458" s="16"/>
      <c r="C458" s="5"/>
      <c r="D458" s="13" t="s">
        <v>53</v>
      </c>
      <c r="E458" s="119">
        <f>E459+E472</f>
        <v>900</v>
      </c>
      <c r="F458" s="119">
        <f aca="true" t="shared" si="212" ref="F458:Q458">F459+F472</f>
        <v>890.546</v>
      </c>
      <c r="G458" s="119">
        <f t="shared" si="212"/>
        <v>0</v>
      </c>
      <c r="H458" s="119">
        <f t="shared" si="212"/>
        <v>0</v>
      </c>
      <c r="I458" s="119">
        <f t="shared" si="212"/>
        <v>0</v>
      </c>
      <c r="J458" s="119">
        <f t="shared" si="212"/>
        <v>0</v>
      </c>
      <c r="K458" s="119">
        <f t="shared" si="212"/>
        <v>0</v>
      </c>
      <c r="L458" s="119">
        <f t="shared" si="212"/>
        <v>54</v>
      </c>
      <c r="M458" s="119">
        <f t="shared" si="212"/>
        <v>0</v>
      </c>
      <c r="N458" s="171">
        <f t="shared" si="212"/>
        <v>-63.454</v>
      </c>
      <c r="O458" s="119">
        <f t="shared" si="212"/>
        <v>0</v>
      </c>
      <c r="P458" s="119">
        <f t="shared" si="212"/>
        <v>0</v>
      </c>
      <c r="Q458" s="119">
        <f t="shared" si="212"/>
        <v>0</v>
      </c>
      <c r="R458" s="119">
        <f>R459+R472</f>
        <v>0</v>
      </c>
      <c r="S458" s="119">
        <f>S459+S472</f>
        <v>0</v>
      </c>
    </row>
    <row r="459" spans="1:19" ht="25.5" hidden="1">
      <c r="A459" s="5"/>
      <c r="B459" s="63" t="s">
        <v>324</v>
      </c>
      <c r="C459" s="11"/>
      <c r="D459" s="60" t="s">
        <v>129</v>
      </c>
      <c r="E459" s="94">
        <f>E460+E468</f>
        <v>900</v>
      </c>
      <c r="F459" s="94">
        <f aca="true" t="shared" si="213" ref="F459:Q459">F460+F468</f>
        <v>836.546</v>
      </c>
      <c r="G459" s="94">
        <f t="shared" si="213"/>
        <v>0</v>
      </c>
      <c r="H459" s="94">
        <f t="shared" si="213"/>
        <v>0</v>
      </c>
      <c r="I459" s="155">
        <f t="shared" si="213"/>
        <v>0</v>
      </c>
      <c r="J459" s="94">
        <f t="shared" si="213"/>
        <v>0</v>
      </c>
      <c r="K459" s="94">
        <f t="shared" si="213"/>
        <v>0</v>
      </c>
      <c r="L459" s="94">
        <f t="shared" si="213"/>
        <v>0</v>
      </c>
      <c r="M459" s="94">
        <f t="shared" si="213"/>
        <v>0</v>
      </c>
      <c r="N459" s="173">
        <f t="shared" si="213"/>
        <v>-63.454</v>
      </c>
      <c r="O459" s="94">
        <f t="shared" si="213"/>
        <v>0</v>
      </c>
      <c r="P459" s="94">
        <f t="shared" si="213"/>
        <v>0</v>
      </c>
      <c r="Q459" s="94">
        <f t="shared" si="213"/>
        <v>0</v>
      </c>
      <c r="R459" s="94">
        <f>R460+R468</f>
        <v>0</v>
      </c>
      <c r="S459" s="94">
        <f>S460+S468</f>
        <v>0</v>
      </c>
    </row>
    <row r="460" spans="1:19" ht="25.5" hidden="1">
      <c r="A460" s="5"/>
      <c r="B460" s="82" t="s">
        <v>325</v>
      </c>
      <c r="C460" s="41"/>
      <c r="D460" s="61" t="s">
        <v>130</v>
      </c>
      <c r="E460" s="79">
        <f aca="true" t="shared" si="214" ref="E460:S460">E461</f>
        <v>900</v>
      </c>
      <c r="F460" s="79">
        <f t="shared" si="214"/>
        <v>836.546</v>
      </c>
      <c r="G460" s="68">
        <f t="shared" si="214"/>
        <v>0</v>
      </c>
      <c r="H460" s="68">
        <f t="shared" si="214"/>
        <v>0</v>
      </c>
      <c r="I460" s="70">
        <f t="shared" si="214"/>
        <v>0</v>
      </c>
      <c r="J460" s="68">
        <f t="shared" si="214"/>
        <v>0</v>
      </c>
      <c r="K460" s="68">
        <f t="shared" si="214"/>
        <v>0</v>
      </c>
      <c r="L460" s="68">
        <f t="shared" si="214"/>
        <v>0</v>
      </c>
      <c r="M460" s="68">
        <f t="shared" si="214"/>
        <v>0</v>
      </c>
      <c r="N460" s="168">
        <f t="shared" si="214"/>
        <v>-63.454</v>
      </c>
      <c r="O460" s="68">
        <f t="shared" si="214"/>
        <v>0</v>
      </c>
      <c r="P460" s="68">
        <f t="shared" si="214"/>
        <v>0</v>
      </c>
      <c r="Q460" s="68">
        <f t="shared" si="214"/>
        <v>0</v>
      </c>
      <c r="R460" s="68">
        <f t="shared" si="214"/>
        <v>0</v>
      </c>
      <c r="S460" s="68">
        <f t="shared" si="214"/>
        <v>0</v>
      </c>
    </row>
    <row r="461" spans="1:19" ht="25.5" hidden="1">
      <c r="A461" s="5"/>
      <c r="B461" s="66" t="s">
        <v>326</v>
      </c>
      <c r="C461" s="41"/>
      <c r="D461" s="57" t="s">
        <v>331</v>
      </c>
      <c r="E461" s="79">
        <f>E462+E464+E466</f>
        <v>900</v>
      </c>
      <c r="F461" s="79">
        <f aca="true" t="shared" si="215" ref="F461:Q461">F462+F464+F466</f>
        <v>836.546</v>
      </c>
      <c r="G461" s="79">
        <f t="shared" si="215"/>
        <v>0</v>
      </c>
      <c r="H461" s="79">
        <f t="shared" si="215"/>
        <v>0</v>
      </c>
      <c r="I461" s="79">
        <f t="shared" si="215"/>
        <v>0</v>
      </c>
      <c r="J461" s="79">
        <f t="shared" si="215"/>
        <v>0</v>
      </c>
      <c r="K461" s="79">
        <f t="shared" si="215"/>
        <v>0</v>
      </c>
      <c r="L461" s="79">
        <f t="shared" si="215"/>
        <v>0</v>
      </c>
      <c r="M461" s="79">
        <f t="shared" si="215"/>
        <v>0</v>
      </c>
      <c r="N461" s="170">
        <f t="shared" si="215"/>
        <v>-63.454</v>
      </c>
      <c r="O461" s="79">
        <f t="shared" si="215"/>
        <v>0</v>
      </c>
      <c r="P461" s="79">
        <f t="shared" si="215"/>
        <v>0</v>
      </c>
      <c r="Q461" s="79">
        <f t="shared" si="215"/>
        <v>0</v>
      </c>
      <c r="R461" s="79">
        <f>R462+R464+R466</f>
        <v>0</v>
      </c>
      <c r="S461" s="79">
        <f>S462+S464+S466</f>
        <v>0</v>
      </c>
    </row>
    <row r="462" spans="1:19" ht="38.25" hidden="1">
      <c r="A462" s="17"/>
      <c r="B462" s="66" t="s">
        <v>327</v>
      </c>
      <c r="C462" s="41"/>
      <c r="D462" s="57" t="s">
        <v>173</v>
      </c>
      <c r="E462" s="79">
        <f aca="true" t="shared" si="216" ref="E462:S462">E463</f>
        <v>0</v>
      </c>
      <c r="F462" s="79">
        <f t="shared" si="216"/>
        <v>0</v>
      </c>
      <c r="G462" s="68">
        <f t="shared" si="216"/>
        <v>0</v>
      </c>
      <c r="H462" s="68">
        <f t="shared" si="216"/>
        <v>0</v>
      </c>
      <c r="I462" s="70">
        <f t="shared" si="216"/>
        <v>0</v>
      </c>
      <c r="J462" s="68">
        <f t="shared" si="216"/>
        <v>0</v>
      </c>
      <c r="K462" s="68">
        <f t="shared" si="216"/>
        <v>0</v>
      </c>
      <c r="L462" s="68">
        <f t="shared" si="216"/>
        <v>0</v>
      </c>
      <c r="M462" s="68">
        <f t="shared" si="216"/>
        <v>0</v>
      </c>
      <c r="N462" s="168">
        <f t="shared" si="216"/>
        <v>0</v>
      </c>
      <c r="O462" s="68">
        <f t="shared" si="216"/>
        <v>0</v>
      </c>
      <c r="P462" s="68">
        <f t="shared" si="216"/>
        <v>0</v>
      </c>
      <c r="Q462" s="68">
        <f t="shared" si="216"/>
        <v>0</v>
      </c>
      <c r="R462" s="68">
        <f t="shared" si="216"/>
        <v>0</v>
      </c>
      <c r="S462" s="68">
        <f t="shared" si="216"/>
        <v>0</v>
      </c>
    </row>
    <row r="463" spans="1:19" ht="12.75" hidden="1">
      <c r="A463" s="17"/>
      <c r="B463" s="66"/>
      <c r="C463" s="41" t="s">
        <v>9</v>
      </c>
      <c r="D463" s="67" t="s">
        <v>37</v>
      </c>
      <c r="E463" s="79"/>
      <c r="F463" s="93">
        <f>E463+SUM(G463:Q463)</f>
        <v>0</v>
      </c>
      <c r="G463" s="68"/>
      <c r="H463" s="68"/>
      <c r="I463" s="153"/>
      <c r="J463" s="69"/>
      <c r="K463" s="68"/>
      <c r="L463" s="68"/>
      <c r="M463" s="68"/>
      <c r="N463" s="168"/>
      <c r="O463" s="68"/>
      <c r="P463" s="68"/>
      <c r="Q463" s="68"/>
      <c r="R463" s="68"/>
      <c r="S463" s="68"/>
    </row>
    <row r="464" spans="1:19" ht="27" customHeight="1" hidden="1">
      <c r="A464" s="17"/>
      <c r="B464" s="66" t="s">
        <v>476</v>
      </c>
      <c r="C464" s="41"/>
      <c r="D464" s="67" t="s">
        <v>477</v>
      </c>
      <c r="E464" s="79">
        <f>E465</f>
        <v>900</v>
      </c>
      <c r="F464" s="79">
        <f aca="true" t="shared" si="217" ref="F464:S464">F465</f>
        <v>0</v>
      </c>
      <c r="G464" s="79">
        <f t="shared" si="217"/>
        <v>0</v>
      </c>
      <c r="H464" s="79">
        <f t="shared" si="217"/>
        <v>0</v>
      </c>
      <c r="I464" s="96">
        <f t="shared" si="217"/>
        <v>0</v>
      </c>
      <c r="J464" s="79">
        <f t="shared" si="217"/>
        <v>0</v>
      </c>
      <c r="K464" s="79">
        <f t="shared" si="217"/>
        <v>0</v>
      </c>
      <c r="L464" s="79">
        <f t="shared" si="217"/>
        <v>0</v>
      </c>
      <c r="M464" s="79">
        <f t="shared" si="217"/>
        <v>-900</v>
      </c>
      <c r="N464" s="170">
        <f t="shared" si="217"/>
        <v>0</v>
      </c>
      <c r="O464" s="79">
        <f t="shared" si="217"/>
        <v>0</v>
      </c>
      <c r="P464" s="79">
        <f t="shared" si="217"/>
        <v>0</v>
      </c>
      <c r="Q464" s="79">
        <f t="shared" si="217"/>
        <v>0</v>
      </c>
      <c r="R464" s="79">
        <f t="shared" si="217"/>
        <v>0</v>
      </c>
      <c r="S464" s="79">
        <f t="shared" si="217"/>
        <v>0</v>
      </c>
    </row>
    <row r="465" spans="1:19" ht="12.75" hidden="1">
      <c r="A465" s="17"/>
      <c r="B465" s="66"/>
      <c r="C465" s="41" t="s">
        <v>9</v>
      </c>
      <c r="D465" s="67" t="s">
        <v>37</v>
      </c>
      <c r="E465" s="79">
        <f>900</f>
        <v>900</v>
      </c>
      <c r="F465" s="93">
        <f>E465+SUM(G465:Q465)</f>
        <v>0</v>
      </c>
      <c r="G465" s="68"/>
      <c r="H465" s="68"/>
      <c r="I465" s="153"/>
      <c r="J465" s="69"/>
      <c r="K465" s="68"/>
      <c r="L465" s="68"/>
      <c r="M465" s="68">
        <v>-900</v>
      </c>
      <c r="N465" s="168"/>
      <c r="O465" s="68"/>
      <c r="P465" s="68"/>
      <c r="Q465" s="68"/>
      <c r="R465" s="68"/>
      <c r="S465" s="68"/>
    </row>
    <row r="466" spans="1:19" ht="25.5" hidden="1">
      <c r="A466" s="17"/>
      <c r="B466" s="66" t="s">
        <v>547</v>
      </c>
      <c r="C466" s="41"/>
      <c r="D466" s="67" t="s">
        <v>477</v>
      </c>
      <c r="E466" s="79">
        <f>E467</f>
        <v>0</v>
      </c>
      <c r="F466" s="79">
        <f aca="true" t="shared" si="218" ref="F466:S466">F467</f>
        <v>836.546</v>
      </c>
      <c r="G466" s="79">
        <f t="shared" si="218"/>
        <v>0</v>
      </c>
      <c r="H466" s="79">
        <f t="shared" si="218"/>
        <v>0</v>
      </c>
      <c r="I466" s="79">
        <f t="shared" si="218"/>
        <v>0</v>
      </c>
      <c r="J466" s="79">
        <f t="shared" si="218"/>
        <v>0</v>
      </c>
      <c r="K466" s="79">
        <f t="shared" si="218"/>
        <v>0</v>
      </c>
      <c r="L466" s="79">
        <f t="shared" si="218"/>
        <v>0</v>
      </c>
      <c r="M466" s="79">
        <f t="shared" si="218"/>
        <v>900</v>
      </c>
      <c r="N466" s="170">
        <f t="shared" si="218"/>
        <v>-63.454</v>
      </c>
      <c r="O466" s="79">
        <f t="shared" si="218"/>
        <v>0</v>
      </c>
      <c r="P466" s="79">
        <f t="shared" si="218"/>
        <v>0</v>
      </c>
      <c r="Q466" s="79">
        <f t="shared" si="218"/>
        <v>0</v>
      </c>
      <c r="R466" s="79">
        <f t="shared" si="218"/>
        <v>0</v>
      </c>
      <c r="S466" s="79">
        <f t="shared" si="218"/>
        <v>0</v>
      </c>
    </row>
    <row r="467" spans="1:19" ht="12.75" hidden="1">
      <c r="A467" s="17"/>
      <c r="B467" s="66"/>
      <c r="C467" s="41" t="s">
        <v>9</v>
      </c>
      <c r="D467" s="67" t="s">
        <v>37</v>
      </c>
      <c r="E467" s="79"/>
      <c r="F467" s="93">
        <f>E467+SUM(G467:Q467)</f>
        <v>836.546</v>
      </c>
      <c r="G467" s="68"/>
      <c r="H467" s="68"/>
      <c r="I467" s="153"/>
      <c r="J467" s="69"/>
      <c r="K467" s="68"/>
      <c r="L467" s="68"/>
      <c r="M467" s="68">
        <v>900</v>
      </c>
      <c r="N467" s="168">
        <v>-63.454</v>
      </c>
      <c r="O467" s="68"/>
      <c r="P467" s="68"/>
      <c r="Q467" s="68"/>
      <c r="R467" s="68"/>
      <c r="S467" s="68"/>
    </row>
    <row r="468" spans="1:19" ht="25.5" hidden="1">
      <c r="A468" s="17"/>
      <c r="B468" s="82" t="s">
        <v>328</v>
      </c>
      <c r="C468" s="41"/>
      <c r="D468" s="61" t="s">
        <v>131</v>
      </c>
      <c r="E468" s="79">
        <f>E469</f>
        <v>0</v>
      </c>
      <c r="F468" s="79">
        <f aca="true" t="shared" si="219" ref="F468:S470">F469</f>
        <v>0</v>
      </c>
      <c r="G468" s="79">
        <f t="shared" si="219"/>
        <v>0</v>
      </c>
      <c r="H468" s="79">
        <f t="shared" si="219"/>
        <v>0</v>
      </c>
      <c r="I468" s="96">
        <f t="shared" si="219"/>
        <v>0</v>
      </c>
      <c r="J468" s="79">
        <f t="shared" si="219"/>
        <v>0</v>
      </c>
      <c r="K468" s="79">
        <f t="shared" si="219"/>
        <v>0</v>
      </c>
      <c r="L468" s="79">
        <f t="shared" si="219"/>
        <v>0</v>
      </c>
      <c r="M468" s="79">
        <f t="shared" si="219"/>
        <v>0</v>
      </c>
      <c r="N468" s="170">
        <f t="shared" si="219"/>
        <v>0</v>
      </c>
      <c r="O468" s="79">
        <f t="shared" si="219"/>
        <v>0</v>
      </c>
      <c r="P468" s="79">
        <f t="shared" si="219"/>
        <v>0</v>
      </c>
      <c r="Q468" s="79">
        <f t="shared" si="219"/>
        <v>0</v>
      </c>
      <c r="R468" s="79">
        <f t="shared" si="219"/>
        <v>0</v>
      </c>
      <c r="S468" s="79">
        <f t="shared" si="219"/>
        <v>0</v>
      </c>
    </row>
    <row r="469" spans="1:19" ht="24" hidden="1">
      <c r="A469" s="17"/>
      <c r="B469" s="66" t="s">
        <v>329</v>
      </c>
      <c r="C469" s="41"/>
      <c r="D469" s="100" t="s">
        <v>332</v>
      </c>
      <c r="E469" s="79">
        <f>E470</f>
        <v>0</v>
      </c>
      <c r="F469" s="79">
        <f t="shared" si="219"/>
        <v>0</v>
      </c>
      <c r="G469" s="79">
        <f t="shared" si="219"/>
        <v>0</v>
      </c>
      <c r="H469" s="79">
        <f t="shared" si="219"/>
        <v>0</v>
      </c>
      <c r="I469" s="96">
        <f t="shared" si="219"/>
        <v>0</v>
      </c>
      <c r="J469" s="79">
        <f t="shared" si="219"/>
        <v>0</v>
      </c>
      <c r="K469" s="79">
        <f t="shared" si="219"/>
        <v>0</v>
      </c>
      <c r="L469" s="79">
        <f t="shared" si="219"/>
        <v>0</v>
      </c>
      <c r="M469" s="79">
        <f t="shared" si="219"/>
        <v>0</v>
      </c>
      <c r="N469" s="170">
        <f t="shared" si="219"/>
        <v>0</v>
      </c>
      <c r="O469" s="79">
        <f t="shared" si="219"/>
        <v>0</v>
      </c>
      <c r="P469" s="79">
        <f t="shared" si="219"/>
        <v>0</v>
      </c>
      <c r="Q469" s="79">
        <f t="shared" si="219"/>
        <v>0</v>
      </c>
      <c r="R469" s="79">
        <f t="shared" si="219"/>
        <v>0</v>
      </c>
      <c r="S469" s="79">
        <f t="shared" si="219"/>
        <v>0</v>
      </c>
    </row>
    <row r="470" spans="1:19" ht="48" hidden="1">
      <c r="A470" s="17"/>
      <c r="B470" s="66" t="s">
        <v>437</v>
      </c>
      <c r="C470" s="41"/>
      <c r="D470" s="100" t="s">
        <v>333</v>
      </c>
      <c r="E470" s="79">
        <f>E471</f>
        <v>0</v>
      </c>
      <c r="F470" s="79">
        <f t="shared" si="219"/>
        <v>0</v>
      </c>
      <c r="G470" s="79">
        <f t="shared" si="219"/>
        <v>0</v>
      </c>
      <c r="H470" s="79">
        <f t="shared" si="219"/>
        <v>0</v>
      </c>
      <c r="I470" s="96">
        <f t="shared" si="219"/>
        <v>0</v>
      </c>
      <c r="J470" s="79">
        <f t="shared" si="219"/>
        <v>0</v>
      </c>
      <c r="K470" s="79">
        <f t="shared" si="219"/>
        <v>0</v>
      </c>
      <c r="L470" s="79">
        <f t="shared" si="219"/>
        <v>0</v>
      </c>
      <c r="M470" s="79">
        <f t="shared" si="219"/>
        <v>0</v>
      </c>
      <c r="N470" s="170">
        <f t="shared" si="219"/>
        <v>0</v>
      </c>
      <c r="O470" s="79">
        <f t="shared" si="219"/>
        <v>0</v>
      </c>
      <c r="P470" s="79">
        <f t="shared" si="219"/>
        <v>0</v>
      </c>
      <c r="Q470" s="79">
        <f t="shared" si="219"/>
        <v>0</v>
      </c>
      <c r="R470" s="79">
        <f t="shared" si="219"/>
        <v>0</v>
      </c>
      <c r="S470" s="79">
        <f t="shared" si="219"/>
        <v>0</v>
      </c>
    </row>
    <row r="471" spans="1:19" ht="12.75" hidden="1">
      <c r="A471" s="17"/>
      <c r="B471" s="66"/>
      <c r="C471" s="41" t="s">
        <v>6</v>
      </c>
      <c r="D471" s="67" t="s">
        <v>7</v>
      </c>
      <c r="E471" s="79"/>
      <c r="F471" s="93">
        <f>E471+SUM(G471:Q471)</f>
        <v>0</v>
      </c>
      <c r="G471" s="68"/>
      <c r="H471" s="68"/>
      <c r="I471" s="153"/>
      <c r="J471" s="69"/>
      <c r="K471" s="68"/>
      <c r="L471" s="68"/>
      <c r="M471" s="68"/>
      <c r="N471" s="168"/>
      <c r="O471" s="68"/>
      <c r="P471" s="68"/>
      <c r="Q471" s="68"/>
      <c r="R471" s="68"/>
      <c r="S471" s="68"/>
    </row>
    <row r="472" spans="1:19" ht="12.75">
      <c r="A472" s="17"/>
      <c r="B472" s="63" t="s">
        <v>432</v>
      </c>
      <c r="C472" s="11"/>
      <c r="D472" s="111" t="s">
        <v>146</v>
      </c>
      <c r="E472" s="95">
        <f>E473+E475</f>
        <v>0</v>
      </c>
      <c r="F472" s="95">
        <f aca="true" t="shared" si="220" ref="F472:Q472">F473+F475</f>
        <v>54</v>
      </c>
      <c r="G472" s="95">
        <f t="shared" si="220"/>
        <v>0</v>
      </c>
      <c r="H472" s="95">
        <f t="shared" si="220"/>
        <v>0</v>
      </c>
      <c r="I472" s="95">
        <f t="shared" si="220"/>
        <v>0</v>
      </c>
      <c r="J472" s="95">
        <f t="shared" si="220"/>
        <v>0</v>
      </c>
      <c r="K472" s="95">
        <f t="shared" si="220"/>
        <v>0</v>
      </c>
      <c r="L472" s="95">
        <f t="shared" si="220"/>
        <v>54</v>
      </c>
      <c r="M472" s="79">
        <f t="shared" si="220"/>
        <v>0</v>
      </c>
      <c r="N472" s="170">
        <f t="shared" si="220"/>
        <v>0</v>
      </c>
      <c r="O472" s="79">
        <f t="shared" si="220"/>
        <v>0</v>
      </c>
      <c r="P472" s="79">
        <f t="shared" si="220"/>
        <v>0</v>
      </c>
      <c r="Q472" s="79">
        <f t="shared" si="220"/>
        <v>0</v>
      </c>
      <c r="R472" s="79">
        <f>R473+R475</f>
        <v>0</v>
      </c>
      <c r="S472" s="79">
        <f>S473+S475</f>
        <v>0</v>
      </c>
    </row>
    <row r="473" spans="1:19" ht="51">
      <c r="A473" s="17"/>
      <c r="B473" s="66" t="s">
        <v>461</v>
      </c>
      <c r="C473" s="41"/>
      <c r="D473" s="109" t="s">
        <v>463</v>
      </c>
      <c r="E473" s="79">
        <f>E474</f>
        <v>0</v>
      </c>
      <c r="F473" s="79">
        <f aca="true" t="shared" si="221" ref="F473:S473">F474</f>
        <v>54</v>
      </c>
      <c r="G473" s="79">
        <f t="shared" si="221"/>
        <v>0</v>
      </c>
      <c r="H473" s="79">
        <f t="shared" si="221"/>
        <v>0</v>
      </c>
      <c r="I473" s="79">
        <f t="shared" si="221"/>
        <v>0</v>
      </c>
      <c r="J473" s="79">
        <f t="shared" si="221"/>
        <v>0</v>
      </c>
      <c r="K473" s="79">
        <f t="shared" si="221"/>
        <v>0</v>
      </c>
      <c r="L473" s="79">
        <f t="shared" si="221"/>
        <v>18</v>
      </c>
      <c r="M473" s="79">
        <f t="shared" si="221"/>
        <v>0</v>
      </c>
      <c r="N473" s="170">
        <f t="shared" si="221"/>
        <v>0</v>
      </c>
      <c r="O473" s="79">
        <f t="shared" si="221"/>
        <v>0</v>
      </c>
      <c r="P473" s="79">
        <f t="shared" si="221"/>
        <v>0</v>
      </c>
      <c r="Q473" s="79">
        <f t="shared" si="221"/>
        <v>0</v>
      </c>
      <c r="R473" s="79">
        <f t="shared" si="221"/>
        <v>36</v>
      </c>
      <c r="S473" s="79">
        <f t="shared" si="221"/>
        <v>0</v>
      </c>
    </row>
    <row r="474" spans="1:19" ht="25.5">
      <c r="A474" s="17"/>
      <c r="B474" s="66"/>
      <c r="C474" s="41" t="s">
        <v>11</v>
      </c>
      <c r="D474" s="67" t="s">
        <v>12</v>
      </c>
      <c r="E474" s="79"/>
      <c r="F474" s="93">
        <f>E474+SUM(G474:S474)</f>
        <v>54</v>
      </c>
      <c r="G474" s="68"/>
      <c r="H474" s="68"/>
      <c r="I474" s="153"/>
      <c r="J474" s="69"/>
      <c r="K474" s="68"/>
      <c r="L474" s="68">
        <v>18</v>
      </c>
      <c r="M474" s="68"/>
      <c r="N474" s="168"/>
      <c r="O474" s="68"/>
      <c r="P474" s="68"/>
      <c r="Q474" s="68"/>
      <c r="R474" s="68">
        <v>36</v>
      </c>
      <c r="S474" s="68"/>
    </row>
    <row r="475" spans="1:19" ht="38.25">
      <c r="A475" s="17"/>
      <c r="B475" s="66" t="s">
        <v>462</v>
      </c>
      <c r="C475" s="41"/>
      <c r="D475" s="109" t="s">
        <v>464</v>
      </c>
      <c r="E475" s="79">
        <f>E476</f>
        <v>0</v>
      </c>
      <c r="F475" s="79">
        <f aca="true" t="shared" si="222" ref="F475:S475">F476</f>
        <v>0</v>
      </c>
      <c r="G475" s="79">
        <f t="shared" si="222"/>
        <v>0</v>
      </c>
      <c r="H475" s="79">
        <f t="shared" si="222"/>
        <v>0</v>
      </c>
      <c r="I475" s="79">
        <f t="shared" si="222"/>
        <v>0</v>
      </c>
      <c r="J475" s="79">
        <f t="shared" si="222"/>
        <v>0</v>
      </c>
      <c r="K475" s="79">
        <f t="shared" si="222"/>
        <v>0</v>
      </c>
      <c r="L475" s="79">
        <f t="shared" si="222"/>
        <v>36</v>
      </c>
      <c r="M475" s="79">
        <f t="shared" si="222"/>
        <v>0</v>
      </c>
      <c r="N475" s="170">
        <f t="shared" si="222"/>
        <v>0</v>
      </c>
      <c r="O475" s="79">
        <f t="shared" si="222"/>
        <v>0</v>
      </c>
      <c r="P475" s="79">
        <f t="shared" si="222"/>
        <v>0</v>
      </c>
      <c r="Q475" s="79">
        <f t="shared" si="222"/>
        <v>0</v>
      </c>
      <c r="R475" s="79">
        <f t="shared" si="222"/>
        <v>-36</v>
      </c>
      <c r="S475" s="79">
        <f t="shared" si="222"/>
        <v>0</v>
      </c>
    </row>
    <row r="476" spans="1:19" ht="25.5">
      <c r="A476" s="17"/>
      <c r="B476" s="66"/>
      <c r="C476" s="41" t="s">
        <v>11</v>
      </c>
      <c r="D476" s="67" t="s">
        <v>12</v>
      </c>
      <c r="E476" s="79"/>
      <c r="F476" s="93">
        <f>E476+SUM(G476:S476)</f>
        <v>0</v>
      </c>
      <c r="G476" s="68"/>
      <c r="H476" s="68"/>
      <c r="I476" s="153"/>
      <c r="J476" s="69"/>
      <c r="K476" s="68"/>
      <c r="L476" s="68">
        <f>36</f>
        <v>36</v>
      </c>
      <c r="M476" s="68"/>
      <c r="N476" s="168"/>
      <c r="O476" s="68"/>
      <c r="P476" s="68"/>
      <c r="Q476" s="68"/>
      <c r="R476" s="68">
        <v>-36</v>
      </c>
      <c r="S476" s="68"/>
    </row>
    <row r="477" spans="1:19" s="25" customFormat="1" ht="12" hidden="1">
      <c r="A477" s="5" t="s">
        <v>62</v>
      </c>
      <c r="B477" s="16"/>
      <c r="C477" s="5"/>
      <c r="D477" s="13" t="s">
        <v>86</v>
      </c>
      <c r="E477" s="119">
        <f aca="true" t="shared" si="223" ref="E477:Q477">E478+E492</f>
        <v>17368.899999999998</v>
      </c>
      <c r="F477" s="119">
        <f t="shared" si="223"/>
        <v>18644.999999999996</v>
      </c>
      <c r="G477" s="26">
        <f t="shared" si="223"/>
        <v>0</v>
      </c>
      <c r="H477" s="26">
        <f t="shared" si="223"/>
        <v>0</v>
      </c>
      <c r="I477" s="26">
        <f t="shared" si="223"/>
        <v>1116.1</v>
      </c>
      <c r="J477" s="26">
        <f t="shared" si="223"/>
        <v>0</v>
      </c>
      <c r="K477" s="26">
        <f t="shared" si="223"/>
        <v>0</v>
      </c>
      <c r="L477" s="26">
        <f t="shared" si="223"/>
        <v>0</v>
      </c>
      <c r="M477" s="26">
        <f t="shared" si="223"/>
        <v>0</v>
      </c>
      <c r="N477" s="176">
        <f t="shared" si="223"/>
        <v>0</v>
      </c>
      <c r="O477" s="26">
        <f t="shared" si="223"/>
        <v>0</v>
      </c>
      <c r="P477" s="26">
        <f t="shared" si="223"/>
        <v>160</v>
      </c>
      <c r="Q477" s="26">
        <f t="shared" si="223"/>
        <v>0</v>
      </c>
      <c r="R477" s="26">
        <f>R478+R492</f>
        <v>0</v>
      </c>
      <c r="S477" s="26">
        <f>S478+S492</f>
        <v>0</v>
      </c>
    </row>
    <row r="478" spans="1:19" s="25" customFormat="1" ht="12" hidden="1">
      <c r="A478" s="5" t="s">
        <v>87</v>
      </c>
      <c r="B478" s="16"/>
      <c r="C478" s="5"/>
      <c r="D478" s="13" t="s">
        <v>88</v>
      </c>
      <c r="E478" s="119">
        <f aca="true" t="shared" si="224" ref="E478:Q478">E479+E483</f>
        <v>16559.399999999998</v>
      </c>
      <c r="F478" s="119">
        <f t="shared" si="224"/>
        <v>17835.499999999996</v>
      </c>
      <c r="G478" s="26">
        <f t="shared" si="224"/>
        <v>0</v>
      </c>
      <c r="H478" s="26">
        <f t="shared" si="224"/>
        <v>0</v>
      </c>
      <c r="I478" s="26">
        <f t="shared" si="224"/>
        <v>1116.1</v>
      </c>
      <c r="J478" s="26">
        <f t="shared" si="224"/>
        <v>0</v>
      </c>
      <c r="K478" s="26">
        <f t="shared" si="224"/>
        <v>0</v>
      </c>
      <c r="L478" s="26">
        <f t="shared" si="224"/>
        <v>0</v>
      </c>
      <c r="M478" s="26">
        <f t="shared" si="224"/>
        <v>0</v>
      </c>
      <c r="N478" s="176">
        <f t="shared" si="224"/>
        <v>0</v>
      </c>
      <c r="O478" s="26">
        <f t="shared" si="224"/>
        <v>0</v>
      </c>
      <c r="P478" s="26">
        <f t="shared" si="224"/>
        <v>160</v>
      </c>
      <c r="Q478" s="26">
        <f t="shared" si="224"/>
        <v>0</v>
      </c>
      <c r="R478" s="26">
        <f>R479+R483</f>
        <v>0</v>
      </c>
      <c r="S478" s="26">
        <f>S479+S483</f>
        <v>0</v>
      </c>
    </row>
    <row r="479" spans="1:19" s="25" customFormat="1" ht="51" hidden="1">
      <c r="A479" s="17"/>
      <c r="B479" s="63" t="s">
        <v>192</v>
      </c>
      <c r="C479" s="11"/>
      <c r="D479" s="60" t="s">
        <v>113</v>
      </c>
      <c r="E479" s="94">
        <f aca="true" t="shared" si="225" ref="E479:S481">E480</f>
        <v>0</v>
      </c>
      <c r="F479" s="94">
        <f t="shared" si="225"/>
        <v>0</v>
      </c>
      <c r="G479" s="71">
        <f t="shared" si="225"/>
        <v>0</v>
      </c>
      <c r="H479" s="71">
        <f t="shared" si="225"/>
        <v>0</v>
      </c>
      <c r="I479" s="71">
        <f t="shared" si="225"/>
        <v>0</v>
      </c>
      <c r="J479" s="71">
        <f t="shared" si="225"/>
        <v>0</v>
      </c>
      <c r="K479" s="71">
        <f t="shared" si="225"/>
        <v>0</v>
      </c>
      <c r="L479" s="71">
        <f t="shared" si="225"/>
        <v>0</v>
      </c>
      <c r="M479" s="71">
        <f t="shared" si="225"/>
        <v>0</v>
      </c>
      <c r="N479" s="174">
        <f t="shared" si="225"/>
        <v>0</v>
      </c>
      <c r="O479" s="71">
        <f t="shared" si="225"/>
        <v>0</v>
      </c>
      <c r="P479" s="71">
        <f t="shared" si="225"/>
        <v>0</v>
      </c>
      <c r="Q479" s="71">
        <f t="shared" si="225"/>
        <v>0</v>
      </c>
      <c r="R479" s="71">
        <f t="shared" si="225"/>
        <v>0</v>
      </c>
      <c r="S479" s="71">
        <f t="shared" si="225"/>
        <v>0</v>
      </c>
    </row>
    <row r="480" spans="1:19" s="25" customFormat="1" ht="51" hidden="1">
      <c r="A480" s="17"/>
      <c r="B480" s="82" t="s">
        <v>193</v>
      </c>
      <c r="C480" s="41"/>
      <c r="D480" s="61" t="s">
        <v>195</v>
      </c>
      <c r="E480" s="93">
        <f t="shared" si="225"/>
        <v>0</v>
      </c>
      <c r="F480" s="93">
        <f t="shared" si="225"/>
        <v>0</v>
      </c>
      <c r="G480" s="64">
        <f t="shared" si="225"/>
        <v>0</v>
      </c>
      <c r="H480" s="64">
        <f t="shared" si="225"/>
        <v>0</v>
      </c>
      <c r="I480" s="64">
        <f t="shared" si="225"/>
        <v>0</v>
      </c>
      <c r="J480" s="64">
        <f t="shared" si="225"/>
        <v>0</v>
      </c>
      <c r="K480" s="64">
        <f t="shared" si="225"/>
        <v>0</v>
      </c>
      <c r="L480" s="64">
        <f t="shared" si="225"/>
        <v>0</v>
      </c>
      <c r="M480" s="64">
        <f t="shared" si="225"/>
        <v>0</v>
      </c>
      <c r="N480" s="172">
        <f t="shared" si="225"/>
        <v>0</v>
      </c>
      <c r="O480" s="64">
        <f t="shared" si="225"/>
        <v>0</v>
      </c>
      <c r="P480" s="64">
        <f t="shared" si="225"/>
        <v>0</v>
      </c>
      <c r="Q480" s="64">
        <f t="shared" si="225"/>
        <v>0</v>
      </c>
      <c r="R480" s="64">
        <f t="shared" si="225"/>
        <v>0</v>
      </c>
      <c r="S480" s="64">
        <f t="shared" si="225"/>
        <v>0</v>
      </c>
    </row>
    <row r="481" spans="1:19" s="25" customFormat="1" ht="25.5" hidden="1">
      <c r="A481" s="17"/>
      <c r="B481" s="66" t="s">
        <v>194</v>
      </c>
      <c r="C481" s="41"/>
      <c r="D481" s="57" t="s">
        <v>196</v>
      </c>
      <c r="E481" s="93">
        <f t="shared" si="225"/>
        <v>0</v>
      </c>
      <c r="F481" s="93">
        <f t="shared" si="225"/>
        <v>0</v>
      </c>
      <c r="G481" s="64">
        <f t="shared" si="225"/>
        <v>0</v>
      </c>
      <c r="H481" s="64">
        <f t="shared" si="225"/>
        <v>0</v>
      </c>
      <c r="I481" s="64">
        <f t="shared" si="225"/>
        <v>0</v>
      </c>
      <c r="J481" s="64">
        <f t="shared" si="225"/>
        <v>0</v>
      </c>
      <c r="K481" s="64">
        <f t="shared" si="225"/>
        <v>0</v>
      </c>
      <c r="L481" s="64">
        <f t="shared" si="225"/>
        <v>0</v>
      </c>
      <c r="M481" s="64">
        <f t="shared" si="225"/>
        <v>0</v>
      </c>
      <c r="N481" s="172">
        <f t="shared" si="225"/>
        <v>0</v>
      </c>
      <c r="O481" s="64">
        <f t="shared" si="225"/>
        <v>0</v>
      </c>
      <c r="P481" s="64">
        <f t="shared" si="225"/>
        <v>0</v>
      </c>
      <c r="Q481" s="64">
        <f t="shared" si="225"/>
        <v>0</v>
      </c>
      <c r="R481" s="64">
        <f t="shared" si="225"/>
        <v>0</v>
      </c>
      <c r="S481" s="64">
        <f t="shared" si="225"/>
        <v>0</v>
      </c>
    </row>
    <row r="482" spans="1:19" s="25" customFormat="1" ht="25.5" hidden="1">
      <c r="A482" s="17"/>
      <c r="B482" s="66"/>
      <c r="C482" s="41" t="s">
        <v>11</v>
      </c>
      <c r="D482" s="67" t="s">
        <v>12</v>
      </c>
      <c r="E482" s="93"/>
      <c r="F482" s="93">
        <f>E482+SUM(G482:Q482)</f>
        <v>0</v>
      </c>
      <c r="G482" s="64"/>
      <c r="H482" s="64"/>
      <c r="I482" s="65"/>
      <c r="J482" s="65"/>
      <c r="K482" s="64"/>
      <c r="L482" s="64"/>
      <c r="M482" s="64"/>
      <c r="N482" s="172"/>
      <c r="O482" s="64"/>
      <c r="P482" s="64"/>
      <c r="Q482" s="64">
        <f>Q483</f>
        <v>0</v>
      </c>
      <c r="R482" s="64">
        <f>R483</f>
        <v>0</v>
      </c>
      <c r="S482" s="64">
        <f>S483</f>
        <v>0</v>
      </c>
    </row>
    <row r="483" spans="1:19" s="25" customFormat="1" ht="68.25" customHeight="1" hidden="1">
      <c r="A483" s="17"/>
      <c r="B483" s="63" t="s">
        <v>273</v>
      </c>
      <c r="C483" s="11"/>
      <c r="D483" s="60" t="s">
        <v>123</v>
      </c>
      <c r="E483" s="95">
        <f aca="true" t="shared" si="226" ref="E483:Q483">E484+E488</f>
        <v>16559.399999999998</v>
      </c>
      <c r="F483" s="95">
        <f t="shared" si="226"/>
        <v>17835.499999999996</v>
      </c>
      <c r="G483" s="73">
        <f t="shared" si="226"/>
        <v>0</v>
      </c>
      <c r="H483" s="73">
        <f t="shared" si="226"/>
        <v>0</v>
      </c>
      <c r="I483" s="73">
        <f t="shared" si="226"/>
        <v>1116.1</v>
      </c>
      <c r="J483" s="73">
        <f t="shared" si="226"/>
        <v>0</v>
      </c>
      <c r="K483" s="73">
        <f t="shared" si="226"/>
        <v>0</v>
      </c>
      <c r="L483" s="73">
        <f t="shared" si="226"/>
        <v>0</v>
      </c>
      <c r="M483" s="73">
        <f t="shared" si="226"/>
        <v>0</v>
      </c>
      <c r="N483" s="123">
        <f t="shared" si="226"/>
        <v>0</v>
      </c>
      <c r="O483" s="73">
        <f t="shared" si="226"/>
        <v>0</v>
      </c>
      <c r="P483" s="73">
        <f t="shared" si="226"/>
        <v>160</v>
      </c>
      <c r="Q483" s="73">
        <f t="shared" si="226"/>
        <v>0</v>
      </c>
      <c r="R483" s="73">
        <f>R484+R488</f>
        <v>0</v>
      </c>
      <c r="S483" s="73">
        <f>S484+S488</f>
        <v>0</v>
      </c>
    </row>
    <row r="484" spans="1:19" s="25" customFormat="1" ht="25.5" hidden="1">
      <c r="A484" s="17"/>
      <c r="B484" s="82" t="s">
        <v>293</v>
      </c>
      <c r="C484" s="99"/>
      <c r="D484" s="61" t="s">
        <v>125</v>
      </c>
      <c r="E484" s="79">
        <f aca="true" t="shared" si="227" ref="E484:S486">E485</f>
        <v>16151.599999999999</v>
      </c>
      <c r="F484" s="79">
        <f t="shared" si="227"/>
        <v>17267.699999999997</v>
      </c>
      <c r="G484" s="68">
        <f t="shared" si="227"/>
        <v>0</v>
      </c>
      <c r="H484" s="68">
        <f t="shared" si="227"/>
        <v>0</v>
      </c>
      <c r="I484" s="68">
        <f t="shared" si="227"/>
        <v>1116.1</v>
      </c>
      <c r="J484" s="68">
        <f t="shared" si="227"/>
        <v>0</v>
      </c>
      <c r="K484" s="68">
        <f t="shared" si="227"/>
        <v>0</v>
      </c>
      <c r="L484" s="68">
        <f t="shared" si="227"/>
        <v>0</v>
      </c>
      <c r="M484" s="68">
        <f t="shared" si="227"/>
        <v>0</v>
      </c>
      <c r="N484" s="168">
        <f t="shared" si="227"/>
        <v>0</v>
      </c>
      <c r="O484" s="68">
        <f t="shared" si="227"/>
        <v>0</v>
      </c>
      <c r="P484" s="68">
        <f t="shared" si="227"/>
        <v>0</v>
      </c>
      <c r="Q484" s="68">
        <f t="shared" si="227"/>
        <v>0</v>
      </c>
      <c r="R484" s="68">
        <f t="shared" si="227"/>
        <v>0</v>
      </c>
      <c r="S484" s="68">
        <f t="shared" si="227"/>
        <v>0</v>
      </c>
    </row>
    <row r="485" spans="1:19" s="25" customFormat="1" ht="38.25" hidden="1">
      <c r="A485" s="17"/>
      <c r="B485" s="66" t="s">
        <v>294</v>
      </c>
      <c r="C485" s="41"/>
      <c r="D485" s="57" t="s">
        <v>296</v>
      </c>
      <c r="E485" s="79">
        <f t="shared" si="227"/>
        <v>16151.599999999999</v>
      </c>
      <c r="F485" s="79">
        <f t="shared" si="227"/>
        <v>17267.699999999997</v>
      </c>
      <c r="G485" s="68">
        <f t="shared" si="227"/>
        <v>0</v>
      </c>
      <c r="H485" s="68">
        <f t="shared" si="227"/>
        <v>0</v>
      </c>
      <c r="I485" s="68">
        <f t="shared" si="227"/>
        <v>1116.1</v>
      </c>
      <c r="J485" s="68">
        <f t="shared" si="227"/>
        <v>0</v>
      </c>
      <c r="K485" s="68">
        <f t="shared" si="227"/>
        <v>0</v>
      </c>
      <c r="L485" s="68">
        <f t="shared" si="227"/>
        <v>0</v>
      </c>
      <c r="M485" s="68">
        <f t="shared" si="227"/>
        <v>0</v>
      </c>
      <c r="N485" s="168">
        <f t="shared" si="227"/>
        <v>0</v>
      </c>
      <c r="O485" s="68">
        <f t="shared" si="227"/>
        <v>0</v>
      </c>
      <c r="P485" s="68">
        <f t="shared" si="227"/>
        <v>0</v>
      </c>
      <c r="Q485" s="68">
        <f t="shared" si="227"/>
        <v>0</v>
      </c>
      <c r="R485" s="68">
        <f t="shared" si="227"/>
        <v>0</v>
      </c>
      <c r="S485" s="68">
        <f t="shared" si="227"/>
        <v>0</v>
      </c>
    </row>
    <row r="486" spans="1:20" s="25" customFormat="1" ht="25.5" hidden="1">
      <c r="A486" s="17"/>
      <c r="B486" s="66" t="s">
        <v>295</v>
      </c>
      <c r="C486" s="41"/>
      <c r="D486" s="57" t="s">
        <v>278</v>
      </c>
      <c r="E486" s="79">
        <f t="shared" si="227"/>
        <v>16151.599999999999</v>
      </c>
      <c r="F486" s="79">
        <f t="shared" si="227"/>
        <v>17267.699999999997</v>
      </c>
      <c r="G486" s="68">
        <f t="shared" si="227"/>
        <v>0</v>
      </c>
      <c r="H486" s="68">
        <f t="shared" si="227"/>
        <v>0</v>
      </c>
      <c r="I486" s="68">
        <f t="shared" si="227"/>
        <v>1116.1</v>
      </c>
      <c r="J486" s="68">
        <f t="shared" si="227"/>
        <v>0</v>
      </c>
      <c r="K486" s="68">
        <f t="shared" si="227"/>
        <v>0</v>
      </c>
      <c r="L486" s="68">
        <f t="shared" si="227"/>
        <v>0</v>
      </c>
      <c r="M486" s="68">
        <f t="shared" si="227"/>
        <v>0</v>
      </c>
      <c r="N486" s="168">
        <f t="shared" si="227"/>
        <v>0</v>
      </c>
      <c r="O486" s="68">
        <f t="shared" si="227"/>
        <v>0</v>
      </c>
      <c r="P486" s="68">
        <f t="shared" si="227"/>
        <v>0</v>
      </c>
      <c r="Q486" s="68">
        <f t="shared" si="227"/>
        <v>0</v>
      </c>
      <c r="R486" s="68">
        <f t="shared" si="227"/>
        <v>0</v>
      </c>
      <c r="S486" s="68">
        <f t="shared" si="227"/>
        <v>0</v>
      </c>
      <c r="T486" s="24"/>
    </row>
    <row r="487" spans="1:19" s="25" customFormat="1" ht="25.5" hidden="1">
      <c r="A487" s="17"/>
      <c r="B487" s="66"/>
      <c r="C487" s="41" t="s">
        <v>11</v>
      </c>
      <c r="D487" s="67" t="s">
        <v>12</v>
      </c>
      <c r="E487" s="79">
        <f>4001.8+10044.8+2105</f>
        <v>16151.599999999999</v>
      </c>
      <c r="F487" s="93">
        <f>E487+SUM(G487:Q487)</f>
        <v>17267.699999999997</v>
      </c>
      <c r="G487" s="68"/>
      <c r="H487" s="68"/>
      <c r="I487" s="69">
        <v>1116.1</v>
      </c>
      <c r="J487" s="69"/>
      <c r="K487" s="68"/>
      <c r="L487" s="70"/>
      <c r="M487" s="68"/>
      <c r="N487" s="168"/>
      <c r="O487" s="68"/>
      <c r="P487" s="68"/>
      <c r="Q487" s="68"/>
      <c r="R487" s="68"/>
      <c r="S487" s="68"/>
    </row>
    <row r="488" spans="1:20" s="34" customFormat="1" ht="25.5" hidden="1">
      <c r="A488" s="17"/>
      <c r="B488" s="82" t="s">
        <v>311</v>
      </c>
      <c r="C488" s="41"/>
      <c r="D488" s="61" t="s">
        <v>127</v>
      </c>
      <c r="E488" s="79">
        <f aca="true" t="shared" si="228" ref="E488:S490">E489</f>
        <v>407.8</v>
      </c>
      <c r="F488" s="79">
        <f t="shared" si="228"/>
        <v>567.8</v>
      </c>
      <c r="G488" s="68">
        <f t="shared" si="228"/>
        <v>0</v>
      </c>
      <c r="H488" s="68">
        <f t="shared" si="228"/>
        <v>0</v>
      </c>
      <c r="I488" s="70">
        <f t="shared" si="228"/>
        <v>0</v>
      </c>
      <c r="J488" s="68">
        <f t="shared" si="228"/>
        <v>0</v>
      </c>
      <c r="K488" s="68">
        <f t="shared" si="228"/>
        <v>0</v>
      </c>
      <c r="L488" s="68">
        <f t="shared" si="228"/>
        <v>0</v>
      </c>
      <c r="M488" s="68">
        <f t="shared" si="228"/>
        <v>0</v>
      </c>
      <c r="N488" s="168">
        <f t="shared" si="228"/>
        <v>0</v>
      </c>
      <c r="O488" s="68">
        <f t="shared" si="228"/>
        <v>0</v>
      </c>
      <c r="P488" s="68">
        <f t="shared" si="228"/>
        <v>160</v>
      </c>
      <c r="Q488" s="68">
        <f t="shared" si="228"/>
        <v>0</v>
      </c>
      <c r="R488" s="68">
        <f t="shared" si="228"/>
        <v>0</v>
      </c>
      <c r="S488" s="68">
        <f t="shared" si="228"/>
        <v>0</v>
      </c>
      <c r="T488" s="25"/>
    </row>
    <row r="489" spans="1:20" s="34" customFormat="1" ht="25.5" hidden="1">
      <c r="A489" s="17"/>
      <c r="B489" s="66" t="s">
        <v>316</v>
      </c>
      <c r="C489" s="41"/>
      <c r="D489" s="57" t="s">
        <v>318</v>
      </c>
      <c r="E489" s="79">
        <f t="shared" si="228"/>
        <v>407.8</v>
      </c>
      <c r="F489" s="79">
        <f t="shared" si="228"/>
        <v>567.8</v>
      </c>
      <c r="G489" s="68">
        <f t="shared" si="228"/>
        <v>0</v>
      </c>
      <c r="H489" s="68">
        <f t="shared" si="228"/>
        <v>0</v>
      </c>
      <c r="I489" s="70">
        <f t="shared" si="228"/>
        <v>0</v>
      </c>
      <c r="J489" s="68">
        <f t="shared" si="228"/>
        <v>0</v>
      </c>
      <c r="K489" s="68">
        <f t="shared" si="228"/>
        <v>0</v>
      </c>
      <c r="L489" s="68">
        <f t="shared" si="228"/>
        <v>0</v>
      </c>
      <c r="M489" s="68">
        <f t="shared" si="228"/>
        <v>0</v>
      </c>
      <c r="N489" s="168">
        <f t="shared" si="228"/>
        <v>0</v>
      </c>
      <c r="O489" s="68">
        <f t="shared" si="228"/>
        <v>0</v>
      </c>
      <c r="P489" s="68">
        <f t="shared" si="228"/>
        <v>160</v>
      </c>
      <c r="Q489" s="68">
        <f t="shared" si="228"/>
        <v>0</v>
      </c>
      <c r="R489" s="68">
        <f t="shared" si="228"/>
        <v>0</v>
      </c>
      <c r="S489" s="68">
        <f t="shared" si="228"/>
        <v>0</v>
      </c>
      <c r="T489" s="25"/>
    </row>
    <row r="490" spans="1:20" s="34" customFormat="1" ht="51" hidden="1">
      <c r="A490" s="17"/>
      <c r="B490" s="66" t="s">
        <v>317</v>
      </c>
      <c r="C490" s="41"/>
      <c r="D490" s="57" t="s">
        <v>315</v>
      </c>
      <c r="E490" s="79">
        <f t="shared" si="228"/>
        <v>407.8</v>
      </c>
      <c r="F490" s="79">
        <f t="shared" si="228"/>
        <v>567.8</v>
      </c>
      <c r="G490" s="68">
        <f t="shared" si="228"/>
        <v>0</v>
      </c>
      <c r="H490" s="68">
        <f t="shared" si="228"/>
        <v>0</v>
      </c>
      <c r="I490" s="70">
        <f t="shared" si="228"/>
        <v>0</v>
      </c>
      <c r="J490" s="68">
        <f t="shared" si="228"/>
        <v>0</v>
      </c>
      <c r="K490" s="68">
        <f t="shared" si="228"/>
        <v>0</v>
      </c>
      <c r="L490" s="68">
        <f t="shared" si="228"/>
        <v>0</v>
      </c>
      <c r="M490" s="68">
        <f t="shared" si="228"/>
        <v>0</v>
      </c>
      <c r="N490" s="168">
        <f t="shared" si="228"/>
        <v>0</v>
      </c>
      <c r="O490" s="68">
        <f t="shared" si="228"/>
        <v>0</v>
      </c>
      <c r="P490" s="68">
        <f t="shared" si="228"/>
        <v>160</v>
      </c>
      <c r="Q490" s="68">
        <f t="shared" si="228"/>
        <v>0</v>
      </c>
      <c r="R490" s="68">
        <f t="shared" si="228"/>
        <v>0</v>
      </c>
      <c r="S490" s="68">
        <f t="shared" si="228"/>
        <v>0</v>
      </c>
      <c r="T490" s="25"/>
    </row>
    <row r="491" spans="1:19" s="25" customFormat="1" ht="25.5" hidden="1">
      <c r="A491" s="5"/>
      <c r="B491" s="66"/>
      <c r="C491" s="41" t="s">
        <v>11</v>
      </c>
      <c r="D491" s="67" t="s">
        <v>12</v>
      </c>
      <c r="E491" s="79">
        <f>407.8</f>
        <v>407.8</v>
      </c>
      <c r="F491" s="93">
        <f>E491+SUM(G491:Q491)</f>
        <v>567.8</v>
      </c>
      <c r="G491" s="68"/>
      <c r="H491" s="68"/>
      <c r="I491" s="153"/>
      <c r="J491" s="69"/>
      <c r="K491" s="68"/>
      <c r="L491" s="68"/>
      <c r="M491" s="68"/>
      <c r="N491" s="168"/>
      <c r="O491" s="68"/>
      <c r="P491" s="68">
        <v>160</v>
      </c>
      <c r="Q491" s="68"/>
      <c r="R491" s="68"/>
      <c r="S491" s="68"/>
    </row>
    <row r="492" spans="1:20" s="24" customFormat="1" ht="12" hidden="1">
      <c r="A492" s="5" t="s">
        <v>0</v>
      </c>
      <c r="B492" s="16"/>
      <c r="C492" s="5"/>
      <c r="D492" s="20" t="s">
        <v>1</v>
      </c>
      <c r="E492" s="119">
        <f>E493</f>
        <v>809.5</v>
      </c>
      <c r="F492" s="119">
        <f>F493</f>
        <v>809.5</v>
      </c>
      <c r="G492" s="26">
        <f aca="true" t="shared" si="229" ref="F492:S493">G493</f>
        <v>0</v>
      </c>
      <c r="H492" s="26">
        <f t="shared" si="229"/>
        <v>0</v>
      </c>
      <c r="I492" s="158">
        <f t="shared" si="229"/>
        <v>0</v>
      </c>
      <c r="J492" s="26">
        <f t="shared" si="229"/>
        <v>0</v>
      </c>
      <c r="K492" s="26">
        <f t="shared" si="229"/>
        <v>0</v>
      </c>
      <c r="L492" s="26">
        <f t="shared" si="229"/>
        <v>0</v>
      </c>
      <c r="M492" s="26">
        <f t="shared" si="229"/>
        <v>0</v>
      </c>
      <c r="N492" s="176">
        <f t="shared" si="229"/>
        <v>0</v>
      </c>
      <c r="O492" s="26">
        <f t="shared" si="229"/>
        <v>0</v>
      </c>
      <c r="P492" s="26">
        <f t="shared" si="229"/>
        <v>0</v>
      </c>
      <c r="Q492" s="26">
        <f t="shared" si="229"/>
        <v>0</v>
      </c>
      <c r="R492" s="26">
        <f t="shared" si="229"/>
        <v>0</v>
      </c>
      <c r="S492" s="26">
        <f t="shared" si="229"/>
        <v>0</v>
      </c>
      <c r="T492" s="25"/>
    </row>
    <row r="493" spans="1:19" s="25" customFormat="1" ht="69.75" customHeight="1" hidden="1">
      <c r="A493" s="17"/>
      <c r="B493" s="63" t="s">
        <v>273</v>
      </c>
      <c r="C493" s="11"/>
      <c r="D493" s="60" t="s">
        <v>123</v>
      </c>
      <c r="E493" s="95">
        <f>E494</f>
        <v>809.5</v>
      </c>
      <c r="F493" s="95">
        <f t="shared" si="229"/>
        <v>809.5</v>
      </c>
      <c r="G493" s="73">
        <f t="shared" si="229"/>
        <v>0</v>
      </c>
      <c r="H493" s="73">
        <f t="shared" si="229"/>
        <v>0</v>
      </c>
      <c r="I493" s="77">
        <f t="shared" si="229"/>
        <v>0</v>
      </c>
      <c r="J493" s="73">
        <f t="shared" si="229"/>
        <v>0</v>
      </c>
      <c r="K493" s="73">
        <f t="shared" si="229"/>
        <v>0</v>
      </c>
      <c r="L493" s="73">
        <f t="shared" si="229"/>
        <v>0</v>
      </c>
      <c r="M493" s="73">
        <f t="shared" si="229"/>
        <v>0</v>
      </c>
      <c r="N493" s="123">
        <f t="shared" si="229"/>
        <v>0</v>
      </c>
      <c r="O493" s="73">
        <f t="shared" si="229"/>
        <v>0</v>
      </c>
      <c r="P493" s="73">
        <f t="shared" si="229"/>
        <v>0</v>
      </c>
      <c r="Q493" s="73">
        <f t="shared" si="229"/>
        <v>0</v>
      </c>
      <c r="R493" s="73">
        <f t="shared" si="229"/>
        <v>0</v>
      </c>
      <c r="S493" s="73">
        <f t="shared" si="229"/>
        <v>0</v>
      </c>
    </row>
    <row r="494" spans="1:19" s="25" customFormat="1" ht="25.5" hidden="1">
      <c r="A494" s="17"/>
      <c r="B494" s="82" t="s">
        <v>293</v>
      </c>
      <c r="C494" s="99"/>
      <c r="D494" s="61" t="s">
        <v>125</v>
      </c>
      <c r="E494" s="79">
        <f>E495</f>
        <v>809.5</v>
      </c>
      <c r="F494" s="79">
        <f aca="true" t="shared" si="230" ref="F494:Q494">F496</f>
        <v>809.5</v>
      </c>
      <c r="G494" s="68">
        <f t="shared" si="230"/>
        <v>0</v>
      </c>
      <c r="H494" s="68">
        <f t="shared" si="230"/>
        <v>0</v>
      </c>
      <c r="I494" s="70">
        <f t="shared" si="230"/>
        <v>0</v>
      </c>
      <c r="J494" s="68">
        <f t="shared" si="230"/>
        <v>0</v>
      </c>
      <c r="K494" s="68">
        <f t="shared" si="230"/>
        <v>0</v>
      </c>
      <c r="L494" s="68">
        <f t="shared" si="230"/>
        <v>0</v>
      </c>
      <c r="M494" s="68">
        <f t="shared" si="230"/>
        <v>0</v>
      </c>
      <c r="N494" s="168">
        <f t="shared" si="230"/>
        <v>0</v>
      </c>
      <c r="O494" s="68">
        <f t="shared" si="230"/>
        <v>0</v>
      </c>
      <c r="P494" s="68">
        <f t="shared" si="230"/>
        <v>0</v>
      </c>
      <c r="Q494" s="68">
        <f t="shared" si="230"/>
        <v>0</v>
      </c>
      <c r="R494" s="68">
        <f>R496</f>
        <v>0</v>
      </c>
      <c r="S494" s="68">
        <f>S496</f>
        <v>0</v>
      </c>
    </row>
    <row r="495" spans="1:19" s="25" customFormat="1" ht="57.75" customHeight="1" hidden="1">
      <c r="A495" s="17"/>
      <c r="B495" s="66" t="s">
        <v>297</v>
      </c>
      <c r="C495" s="41"/>
      <c r="D495" s="57" t="s">
        <v>302</v>
      </c>
      <c r="E495" s="79">
        <f>E496</f>
        <v>809.5</v>
      </c>
      <c r="F495" s="79">
        <f aca="true" t="shared" si="231" ref="F495:S496">F496</f>
        <v>809.5</v>
      </c>
      <c r="G495" s="68">
        <f t="shared" si="231"/>
        <v>0</v>
      </c>
      <c r="H495" s="68">
        <f t="shared" si="231"/>
        <v>0</v>
      </c>
      <c r="I495" s="70">
        <f t="shared" si="231"/>
        <v>0</v>
      </c>
      <c r="J495" s="68">
        <f t="shared" si="231"/>
        <v>0</v>
      </c>
      <c r="K495" s="68">
        <f t="shared" si="231"/>
        <v>0</v>
      </c>
      <c r="L495" s="68">
        <f t="shared" si="231"/>
        <v>0</v>
      </c>
      <c r="M495" s="68">
        <f t="shared" si="231"/>
        <v>0</v>
      </c>
      <c r="N495" s="168">
        <f t="shared" si="231"/>
        <v>0</v>
      </c>
      <c r="O495" s="68">
        <f t="shared" si="231"/>
        <v>0</v>
      </c>
      <c r="P495" s="68">
        <f t="shared" si="231"/>
        <v>0</v>
      </c>
      <c r="Q495" s="68">
        <f t="shared" si="231"/>
        <v>0</v>
      </c>
      <c r="R495" s="68">
        <f t="shared" si="231"/>
        <v>0</v>
      </c>
      <c r="S495" s="68">
        <f t="shared" si="231"/>
        <v>0</v>
      </c>
    </row>
    <row r="496" spans="1:19" s="25" customFormat="1" ht="23.25" customHeight="1" hidden="1">
      <c r="A496" s="17"/>
      <c r="B496" s="66" t="s">
        <v>298</v>
      </c>
      <c r="C496" s="41"/>
      <c r="D496" s="57" t="s">
        <v>288</v>
      </c>
      <c r="E496" s="79">
        <f>E497</f>
        <v>809.5</v>
      </c>
      <c r="F496" s="79">
        <f t="shared" si="231"/>
        <v>809.5</v>
      </c>
      <c r="G496" s="68">
        <f t="shared" si="231"/>
        <v>0</v>
      </c>
      <c r="H496" s="68">
        <f t="shared" si="231"/>
        <v>0</v>
      </c>
      <c r="I496" s="70">
        <f t="shared" si="231"/>
        <v>0</v>
      </c>
      <c r="J496" s="68">
        <f t="shared" si="231"/>
        <v>0</v>
      </c>
      <c r="K496" s="68">
        <f t="shared" si="231"/>
        <v>0</v>
      </c>
      <c r="L496" s="68">
        <f t="shared" si="231"/>
        <v>0</v>
      </c>
      <c r="M496" s="68">
        <f t="shared" si="231"/>
        <v>0</v>
      </c>
      <c r="N496" s="168">
        <f t="shared" si="231"/>
        <v>0</v>
      </c>
      <c r="O496" s="68">
        <f t="shared" si="231"/>
        <v>0</v>
      </c>
      <c r="P496" s="68">
        <f t="shared" si="231"/>
        <v>0</v>
      </c>
      <c r="Q496" s="68">
        <f t="shared" si="231"/>
        <v>0</v>
      </c>
      <c r="R496" s="68">
        <f t="shared" si="231"/>
        <v>0</v>
      </c>
      <c r="S496" s="68">
        <f t="shared" si="231"/>
        <v>0</v>
      </c>
    </row>
    <row r="497" spans="1:19" s="25" customFormat="1" ht="25.5" hidden="1">
      <c r="A497" s="17"/>
      <c r="B497" s="66"/>
      <c r="C497" s="41" t="s">
        <v>3</v>
      </c>
      <c r="D497" s="67" t="s">
        <v>95</v>
      </c>
      <c r="E497" s="79">
        <f>809.5</f>
        <v>809.5</v>
      </c>
      <c r="F497" s="93">
        <f>E497+SUM(G497:Q497)</f>
        <v>809.5</v>
      </c>
      <c r="G497" s="68"/>
      <c r="H497" s="68"/>
      <c r="I497" s="153"/>
      <c r="J497" s="69"/>
      <c r="K497" s="68"/>
      <c r="L497" s="70"/>
      <c r="M497" s="68"/>
      <c r="N497" s="168"/>
      <c r="O497" s="68"/>
      <c r="P497" s="68"/>
      <c r="Q497" s="68"/>
      <c r="R497" s="68"/>
      <c r="S497" s="68"/>
    </row>
    <row r="498" spans="1:19" s="33" customFormat="1" ht="24" hidden="1">
      <c r="A498" s="5" t="s">
        <v>81</v>
      </c>
      <c r="B498" s="16"/>
      <c r="C498" s="5"/>
      <c r="D498" s="13" t="s">
        <v>82</v>
      </c>
      <c r="E498" s="119">
        <f aca="true" t="shared" si="232" ref="E498:E503">E499</f>
        <v>9088.9</v>
      </c>
      <c r="F498" s="119">
        <f aca="true" t="shared" si="233" ref="F498:S503">F499</f>
        <v>8347.699999999999</v>
      </c>
      <c r="G498" s="26">
        <f t="shared" si="233"/>
        <v>0</v>
      </c>
      <c r="H498" s="26">
        <f t="shared" si="233"/>
        <v>0</v>
      </c>
      <c r="I498" s="158">
        <f t="shared" si="233"/>
        <v>0</v>
      </c>
      <c r="J498" s="26">
        <f t="shared" si="233"/>
        <v>0</v>
      </c>
      <c r="K498" s="26">
        <f t="shared" si="233"/>
        <v>0</v>
      </c>
      <c r="L498" s="26">
        <f t="shared" si="233"/>
        <v>0</v>
      </c>
      <c r="M498" s="26">
        <f t="shared" si="233"/>
        <v>0</v>
      </c>
      <c r="N498" s="176">
        <f t="shared" si="233"/>
        <v>0</v>
      </c>
      <c r="O498" s="26">
        <f t="shared" si="233"/>
        <v>-741.2</v>
      </c>
      <c r="P498" s="26">
        <f t="shared" si="233"/>
        <v>0</v>
      </c>
      <c r="Q498" s="26">
        <f t="shared" si="233"/>
        <v>0</v>
      </c>
      <c r="R498" s="26">
        <f t="shared" si="233"/>
        <v>0</v>
      </c>
      <c r="S498" s="26">
        <f t="shared" si="233"/>
        <v>0</v>
      </c>
    </row>
    <row r="499" spans="1:19" s="33" customFormat="1" ht="24" hidden="1">
      <c r="A499" s="5" t="s">
        <v>83</v>
      </c>
      <c r="B499" s="16"/>
      <c r="C499" s="5"/>
      <c r="D499" s="13" t="s">
        <v>97</v>
      </c>
      <c r="E499" s="119">
        <f t="shared" si="232"/>
        <v>9088.9</v>
      </c>
      <c r="F499" s="119">
        <f t="shared" si="233"/>
        <v>8347.699999999999</v>
      </c>
      <c r="G499" s="26">
        <f t="shared" si="233"/>
        <v>0</v>
      </c>
      <c r="H499" s="26">
        <f t="shared" si="233"/>
        <v>0</v>
      </c>
      <c r="I499" s="158">
        <f t="shared" si="233"/>
        <v>0</v>
      </c>
      <c r="J499" s="26">
        <f t="shared" si="233"/>
        <v>0</v>
      </c>
      <c r="K499" s="26">
        <f t="shared" si="233"/>
        <v>0</v>
      </c>
      <c r="L499" s="26">
        <f t="shared" si="233"/>
        <v>0</v>
      </c>
      <c r="M499" s="26">
        <f t="shared" si="233"/>
        <v>0</v>
      </c>
      <c r="N499" s="176">
        <f t="shared" si="233"/>
        <v>0</v>
      </c>
      <c r="O499" s="26">
        <f t="shared" si="233"/>
        <v>-741.2</v>
      </c>
      <c r="P499" s="26">
        <f t="shared" si="233"/>
        <v>0</v>
      </c>
      <c r="Q499" s="26">
        <f t="shared" si="233"/>
        <v>0</v>
      </c>
      <c r="R499" s="26">
        <f t="shared" si="233"/>
        <v>0</v>
      </c>
      <c r="S499" s="26">
        <f t="shared" si="233"/>
        <v>0</v>
      </c>
    </row>
    <row r="500" spans="1:19" s="33" customFormat="1" ht="38.25" hidden="1">
      <c r="A500" s="17"/>
      <c r="B500" s="63" t="s">
        <v>164</v>
      </c>
      <c r="C500" s="41"/>
      <c r="D500" s="60" t="s">
        <v>108</v>
      </c>
      <c r="E500" s="94">
        <f t="shared" si="232"/>
        <v>9088.9</v>
      </c>
      <c r="F500" s="94">
        <f t="shared" si="233"/>
        <v>8347.699999999999</v>
      </c>
      <c r="G500" s="71">
        <f t="shared" si="233"/>
        <v>0</v>
      </c>
      <c r="H500" s="71">
        <f t="shared" si="233"/>
        <v>0</v>
      </c>
      <c r="I500" s="156">
        <f t="shared" si="233"/>
        <v>0</v>
      </c>
      <c r="J500" s="71">
        <f t="shared" si="233"/>
        <v>0</v>
      </c>
      <c r="K500" s="71">
        <f t="shared" si="233"/>
        <v>0</v>
      </c>
      <c r="L500" s="71">
        <f t="shared" si="233"/>
        <v>0</v>
      </c>
      <c r="M500" s="71">
        <f t="shared" si="233"/>
        <v>0</v>
      </c>
      <c r="N500" s="174">
        <f t="shared" si="233"/>
        <v>0</v>
      </c>
      <c r="O500" s="71">
        <f t="shared" si="233"/>
        <v>-741.2</v>
      </c>
      <c r="P500" s="71">
        <f t="shared" si="233"/>
        <v>0</v>
      </c>
      <c r="Q500" s="71">
        <f t="shared" si="233"/>
        <v>0</v>
      </c>
      <c r="R500" s="71">
        <f t="shared" si="233"/>
        <v>0</v>
      </c>
      <c r="S500" s="71">
        <f t="shared" si="233"/>
        <v>0</v>
      </c>
    </row>
    <row r="501" spans="1:19" s="33" customFormat="1" ht="25.5" hidden="1">
      <c r="A501" s="17"/>
      <c r="B501" s="63" t="s">
        <v>186</v>
      </c>
      <c r="C501" s="11"/>
      <c r="D501" s="113" t="s">
        <v>189</v>
      </c>
      <c r="E501" s="94">
        <f t="shared" si="232"/>
        <v>9088.9</v>
      </c>
      <c r="F501" s="94">
        <f t="shared" si="233"/>
        <v>8347.699999999999</v>
      </c>
      <c r="G501" s="71">
        <f t="shared" si="233"/>
        <v>0</v>
      </c>
      <c r="H501" s="71">
        <f t="shared" si="233"/>
        <v>0</v>
      </c>
      <c r="I501" s="156">
        <f t="shared" si="233"/>
        <v>0</v>
      </c>
      <c r="J501" s="71">
        <f t="shared" si="233"/>
        <v>0</v>
      </c>
      <c r="K501" s="71">
        <f t="shared" si="233"/>
        <v>0</v>
      </c>
      <c r="L501" s="71">
        <f t="shared" si="233"/>
        <v>0</v>
      </c>
      <c r="M501" s="71">
        <f t="shared" si="233"/>
        <v>0</v>
      </c>
      <c r="N501" s="174">
        <f t="shared" si="233"/>
        <v>0</v>
      </c>
      <c r="O501" s="71">
        <f t="shared" si="233"/>
        <v>-741.2</v>
      </c>
      <c r="P501" s="71">
        <f t="shared" si="233"/>
        <v>0</v>
      </c>
      <c r="Q501" s="71">
        <f t="shared" si="233"/>
        <v>0</v>
      </c>
      <c r="R501" s="71">
        <f t="shared" si="233"/>
        <v>0</v>
      </c>
      <c r="S501" s="71">
        <f t="shared" si="233"/>
        <v>0</v>
      </c>
    </row>
    <row r="502" spans="1:19" s="33" customFormat="1" ht="25.5" hidden="1">
      <c r="A502" s="17"/>
      <c r="B502" s="82" t="s">
        <v>187</v>
      </c>
      <c r="C502" s="99"/>
      <c r="D502" s="103" t="s">
        <v>190</v>
      </c>
      <c r="E502" s="93">
        <f t="shared" si="232"/>
        <v>9088.9</v>
      </c>
      <c r="F502" s="93">
        <f t="shared" si="233"/>
        <v>8347.699999999999</v>
      </c>
      <c r="G502" s="64">
        <f t="shared" si="233"/>
        <v>0</v>
      </c>
      <c r="H502" s="64">
        <f t="shared" si="233"/>
        <v>0</v>
      </c>
      <c r="I502" s="78">
        <f t="shared" si="233"/>
        <v>0</v>
      </c>
      <c r="J502" s="64">
        <f t="shared" si="233"/>
        <v>0</v>
      </c>
      <c r="K502" s="64">
        <f t="shared" si="233"/>
        <v>0</v>
      </c>
      <c r="L502" s="64">
        <f t="shared" si="233"/>
        <v>0</v>
      </c>
      <c r="M502" s="64">
        <f t="shared" si="233"/>
        <v>0</v>
      </c>
      <c r="N502" s="172">
        <f t="shared" si="233"/>
        <v>0</v>
      </c>
      <c r="O502" s="64">
        <f t="shared" si="233"/>
        <v>-741.2</v>
      </c>
      <c r="P502" s="64">
        <f t="shared" si="233"/>
        <v>0</v>
      </c>
      <c r="Q502" s="64">
        <f t="shared" si="233"/>
        <v>0</v>
      </c>
      <c r="R502" s="64">
        <f t="shared" si="233"/>
        <v>0</v>
      </c>
      <c r="S502" s="64">
        <f t="shared" si="233"/>
        <v>0</v>
      </c>
    </row>
    <row r="503" spans="1:19" s="33" customFormat="1" ht="38.25" hidden="1">
      <c r="A503" s="17"/>
      <c r="B503" s="66" t="s">
        <v>188</v>
      </c>
      <c r="C503" s="41"/>
      <c r="D503" s="67" t="s">
        <v>191</v>
      </c>
      <c r="E503" s="93">
        <f t="shared" si="232"/>
        <v>9088.9</v>
      </c>
      <c r="F503" s="93">
        <f t="shared" si="233"/>
        <v>8347.699999999999</v>
      </c>
      <c r="G503" s="64">
        <f t="shared" si="233"/>
        <v>0</v>
      </c>
      <c r="H503" s="64">
        <f t="shared" si="233"/>
        <v>0</v>
      </c>
      <c r="I503" s="78">
        <f t="shared" si="233"/>
        <v>0</v>
      </c>
      <c r="J503" s="64">
        <f t="shared" si="233"/>
        <v>0</v>
      </c>
      <c r="K503" s="64">
        <f t="shared" si="233"/>
        <v>0</v>
      </c>
      <c r="L503" s="64">
        <f t="shared" si="233"/>
        <v>0</v>
      </c>
      <c r="M503" s="64">
        <f t="shared" si="233"/>
        <v>0</v>
      </c>
      <c r="N503" s="172">
        <f t="shared" si="233"/>
        <v>0</v>
      </c>
      <c r="O503" s="64">
        <f t="shared" si="233"/>
        <v>-741.2</v>
      </c>
      <c r="P503" s="64">
        <f t="shared" si="233"/>
        <v>0</v>
      </c>
      <c r="Q503" s="64">
        <f t="shared" si="233"/>
        <v>0</v>
      </c>
      <c r="R503" s="64">
        <f t="shared" si="233"/>
        <v>0</v>
      </c>
      <c r="S503" s="64">
        <f t="shared" si="233"/>
        <v>0</v>
      </c>
    </row>
    <row r="504" spans="1:19" s="33" customFormat="1" ht="29.25" customHeight="1" hidden="1">
      <c r="A504" s="17"/>
      <c r="B504" s="66"/>
      <c r="C504" s="41" t="s">
        <v>8</v>
      </c>
      <c r="D504" s="109" t="s">
        <v>98</v>
      </c>
      <c r="E504" s="93">
        <f>9088.9</f>
        <v>9088.9</v>
      </c>
      <c r="F504" s="93">
        <f>E504+SUM(G504:Q504)</f>
        <v>8347.699999999999</v>
      </c>
      <c r="G504" s="64"/>
      <c r="H504" s="64"/>
      <c r="I504" s="157"/>
      <c r="J504" s="58"/>
      <c r="K504" s="64"/>
      <c r="L504" s="64"/>
      <c r="M504" s="64"/>
      <c r="N504" s="172"/>
      <c r="O504" s="64">
        <f>-741.2</f>
        <v>-741.2</v>
      </c>
      <c r="P504" s="64"/>
      <c r="Q504" s="64"/>
      <c r="R504" s="64"/>
      <c r="S504" s="64"/>
    </row>
    <row r="505" spans="1:19" s="24" customFormat="1" ht="12" hidden="1">
      <c r="A505" s="5" t="s">
        <v>157</v>
      </c>
      <c r="B505" s="16"/>
      <c r="C505" s="5"/>
      <c r="D505" s="20" t="s">
        <v>57</v>
      </c>
      <c r="E505" s="119">
        <f>E506</f>
        <v>0</v>
      </c>
      <c r="F505" s="119">
        <f>F506</f>
        <v>0</v>
      </c>
      <c r="G505" s="26">
        <f aca="true" t="shared" si="234" ref="G505:S506">G506</f>
        <v>0</v>
      </c>
      <c r="H505" s="26">
        <f t="shared" si="234"/>
        <v>0</v>
      </c>
      <c r="I505" s="158">
        <f t="shared" si="234"/>
        <v>0</v>
      </c>
      <c r="J505" s="26">
        <f t="shared" si="234"/>
        <v>0</v>
      </c>
      <c r="K505" s="26">
        <f t="shared" si="234"/>
        <v>0</v>
      </c>
      <c r="L505" s="26">
        <f t="shared" si="234"/>
        <v>0</v>
      </c>
      <c r="M505" s="26">
        <f t="shared" si="234"/>
        <v>0</v>
      </c>
      <c r="N505" s="176">
        <f t="shared" si="234"/>
        <v>0</v>
      </c>
      <c r="O505" s="26">
        <f t="shared" si="234"/>
        <v>0</v>
      </c>
      <c r="P505" s="26">
        <f t="shared" si="234"/>
        <v>0</v>
      </c>
      <c r="Q505" s="26">
        <f t="shared" si="234"/>
        <v>0</v>
      </c>
      <c r="R505" s="26">
        <f t="shared" si="234"/>
        <v>0</v>
      </c>
      <c r="S505" s="26">
        <f t="shared" si="234"/>
        <v>0</v>
      </c>
    </row>
    <row r="506" spans="1:19" s="25" customFormat="1" ht="12.75" hidden="1">
      <c r="A506" s="17"/>
      <c r="B506" s="116" t="s">
        <v>434</v>
      </c>
      <c r="C506" s="11"/>
      <c r="D506" s="117" t="s">
        <v>148</v>
      </c>
      <c r="E506" s="95">
        <f>E507</f>
        <v>0</v>
      </c>
      <c r="F506" s="95">
        <f>F507</f>
        <v>0</v>
      </c>
      <c r="G506" s="73">
        <f t="shared" si="234"/>
        <v>0</v>
      </c>
      <c r="H506" s="73">
        <f t="shared" si="234"/>
        <v>0</v>
      </c>
      <c r="I506" s="77">
        <f t="shared" si="234"/>
        <v>0</v>
      </c>
      <c r="J506" s="73">
        <f t="shared" si="234"/>
        <v>0</v>
      </c>
      <c r="K506" s="73">
        <f t="shared" si="234"/>
        <v>0</v>
      </c>
      <c r="L506" s="73">
        <f t="shared" si="234"/>
        <v>0</v>
      </c>
      <c r="M506" s="73">
        <f t="shared" si="234"/>
        <v>0</v>
      </c>
      <c r="N506" s="123">
        <f t="shared" si="234"/>
        <v>0</v>
      </c>
      <c r="O506" s="73">
        <f t="shared" si="234"/>
        <v>0</v>
      </c>
      <c r="P506" s="73">
        <f t="shared" si="234"/>
        <v>0</v>
      </c>
      <c r="Q506" s="73">
        <f t="shared" si="234"/>
        <v>0</v>
      </c>
      <c r="R506" s="73">
        <f t="shared" si="234"/>
        <v>0</v>
      </c>
      <c r="S506" s="73">
        <f t="shared" si="234"/>
        <v>0</v>
      </c>
    </row>
    <row r="507" spans="1:19" s="25" customFormat="1" ht="12.75" hidden="1">
      <c r="A507" s="17"/>
      <c r="B507" s="88" t="s">
        <v>433</v>
      </c>
      <c r="C507" s="41" t="s">
        <v>155</v>
      </c>
      <c r="D507" s="87" t="s">
        <v>148</v>
      </c>
      <c r="E507" s="79">
        <v>0</v>
      </c>
      <c r="F507" s="93">
        <f>E507+SUM(G507:K507)</f>
        <v>0</v>
      </c>
      <c r="G507" s="68"/>
      <c r="H507" s="68"/>
      <c r="I507" s="70"/>
      <c r="J507" s="68"/>
      <c r="K507" s="68"/>
      <c r="L507" s="68"/>
      <c r="M507" s="68"/>
      <c r="N507" s="168"/>
      <c r="O507" s="68"/>
      <c r="P507" s="68"/>
      <c r="Q507" s="68"/>
      <c r="R507" s="68"/>
      <c r="S507" s="68"/>
    </row>
    <row r="508" spans="1:19" ht="12">
      <c r="A508" s="27"/>
      <c r="B508" s="27"/>
      <c r="C508" s="27"/>
      <c r="D508" s="28" t="s">
        <v>80</v>
      </c>
      <c r="E508" s="119">
        <f>E9+E130+E178+E263+E396+E422+E453+E477+E498+E505</f>
        <v>215906.59999999998</v>
      </c>
      <c r="F508" s="121">
        <f aca="true" t="shared" si="235" ref="F508:Q508">F9+F130+F178+F263+F396+F422+F453+F477+F498+F505</f>
        <v>279224.34196999995</v>
      </c>
      <c r="G508" s="122">
        <f t="shared" si="235"/>
        <v>0</v>
      </c>
      <c r="H508" s="149">
        <f t="shared" si="235"/>
        <v>57330.04049</v>
      </c>
      <c r="I508" s="121">
        <f t="shared" si="235"/>
        <v>1300.2035999999998</v>
      </c>
      <c r="J508" s="121">
        <f t="shared" si="235"/>
        <v>0</v>
      </c>
      <c r="K508" s="122">
        <f t="shared" si="235"/>
        <v>15032.99416</v>
      </c>
      <c r="L508" s="121">
        <f t="shared" si="235"/>
        <v>3194.0032</v>
      </c>
      <c r="M508" s="121">
        <f t="shared" si="235"/>
        <v>-600.1028</v>
      </c>
      <c r="N508" s="171">
        <f t="shared" si="235"/>
        <v>710.4033200000001</v>
      </c>
      <c r="O508" s="128">
        <f t="shared" si="235"/>
        <v>-13714.8</v>
      </c>
      <c r="P508" s="119">
        <f t="shared" si="235"/>
        <v>65</v>
      </c>
      <c r="Q508" s="119">
        <f t="shared" si="235"/>
        <v>0</v>
      </c>
      <c r="R508" s="119">
        <f>R9+R130+R178+R263+R396+R422+R453+R477+R498+R505</f>
        <v>0</v>
      </c>
      <c r="S508" s="119">
        <f>S9+S130+S178+S263+S396+S422+S453+S477+S498+S505</f>
        <v>0</v>
      </c>
    </row>
    <row r="509" spans="4:19" ht="12">
      <c r="D509" s="8"/>
      <c r="E509" s="98"/>
      <c r="F509" s="98"/>
      <c r="G509" s="47"/>
      <c r="H509" s="47"/>
      <c r="I509" s="47"/>
      <c r="J509" s="47"/>
      <c r="K509" s="47"/>
      <c r="L509" s="47"/>
      <c r="M509" s="47"/>
      <c r="N509" s="178"/>
      <c r="O509" s="47"/>
      <c r="P509" s="29"/>
      <c r="Q509" s="29"/>
      <c r="R509" s="29"/>
      <c r="S509" s="29"/>
    </row>
    <row r="510" spans="4:19" ht="12">
      <c r="D510" s="30"/>
      <c r="E510" s="48"/>
      <c r="F510" s="48"/>
      <c r="G510" s="48">
        <f>'П № 5'!F382</f>
        <v>0</v>
      </c>
      <c r="H510" s="48"/>
      <c r="I510" s="48"/>
      <c r="J510" s="48"/>
      <c r="K510" s="48"/>
      <c r="L510" s="48"/>
      <c r="M510" s="48"/>
      <c r="O510" s="48"/>
      <c r="P510" s="38"/>
      <c r="Q510" s="38"/>
      <c r="R510" s="38"/>
      <c r="S510" s="38"/>
    </row>
    <row r="511" ht="12">
      <c r="D511" s="31"/>
    </row>
    <row r="512" ht="12">
      <c r="D512" s="31"/>
    </row>
    <row r="513" spans="16:20" ht="12">
      <c r="P513" s="40"/>
      <c r="Q513" s="40"/>
      <c r="R513" s="40"/>
      <c r="S513" s="40"/>
      <c r="T513" s="7"/>
    </row>
    <row r="514" spans="16:19" ht="12">
      <c r="P514" s="40"/>
      <c r="Q514" s="40"/>
      <c r="R514" s="40"/>
      <c r="S514" s="40"/>
    </row>
    <row r="515" spans="16:19" ht="12">
      <c r="P515" s="40"/>
      <c r="Q515" s="40"/>
      <c r="R515" s="40"/>
      <c r="S515" s="40"/>
    </row>
    <row r="516" spans="16:19" ht="12">
      <c r="P516" s="40"/>
      <c r="Q516" s="40"/>
      <c r="R516" s="40"/>
      <c r="S516" s="40"/>
    </row>
    <row r="517" spans="1:19" ht="12">
      <c r="A517" s="8"/>
      <c r="B517" s="161"/>
      <c r="C517" s="8"/>
      <c r="P517" s="40"/>
      <c r="Q517" s="40"/>
      <c r="R517" s="40"/>
      <c r="S517" s="40"/>
    </row>
    <row r="518" spans="1:19" ht="12">
      <c r="A518" s="8"/>
      <c r="B518" s="161"/>
      <c r="C518" s="8"/>
      <c r="P518" s="40"/>
      <c r="Q518" s="40"/>
      <c r="R518" s="40"/>
      <c r="S518" s="40"/>
    </row>
    <row r="519" spans="1:20" s="7" customFormat="1" ht="12">
      <c r="A519" s="8"/>
      <c r="B519" s="161"/>
      <c r="C519" s="8"/>
      <c r="E519" s="49"/>
      <c r="F519" s="49"/>
      <c r="G519" s="49"/>
      <c r="H519" s="49"/>
      <c r="I519" s="49"/>
      <c r="J519" s="49"/>
      <c r="K519" s="49"/>
      <c r="L519" s="49"/>
      <c r="M519" s="49"/>
      <c r="N519" s="165"/>
      <c r="O519" s="49"/>
      <c r="P519" s="39"/>
      <c r="Q519" s="39"/>
      <c r="R519" s="39"/>
      <c r="S519" s="39"/>
      <c r="T519" s="8"/>
    </row>
  </sheetData>
  <sheetProtection/>
  <autoFilter ref="A8:J511"/>
  <mergeCells count="1">
    <mergeCell ref="A5:R5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551"/>
  <sheetViews>
    <sheetView tabSelected="1" view="pageBreakPreview" zoomScale="115" zoomScaleNormal="90" zoomScaleSheetLayoutView="115" workbookViewId="0" topLeftCell="A1">
      <pane xSplit="5" ySplit="8" topLeftCell="S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S3" sqref="S3"/>
    </sheetView>
  </sheetViews>
  <sheetFormatPr defaultColWidth="9.140625" defaultRowHeight="15" outlineLevelCol="1"/>
  <cols>
    <col min="1" max="2" width="6.7109375" style="6" customWidth="1"/>
    <col min="3" max="3" width="11.421875" style="6" customWidth="1"/>
    <col min="4" max="4" width="8.7109375" style="6" customWidth="1"/>
    <col min="5" max="5" width="46.00390625" style="7" customWidth="1"/>
    <col min="6" max="6" width="15.7109375" style="49" hidden="1" customWidth="1"/>
    <col min="7" max="7" width="15.421875" style="49" hidden="1" customWidth="1"/>
    <col min="8" max="8" width="15.57421875" style="49" hidden="1" customWidth="1" outlineLevel="1"/>
    <col min="9" max="9" width="14.28125" style="49" hidden="1" customWidth="1" outlineLevel="1"/>
    <col min="10" max="10" width="18.7109375" style="49" hidden="1" customWidth="1" outlineLevel="1"/>
    <col min="11" max="11" width="14.28125" style="49" hidden="1" customWidth="1" outlineLevel="1"/>
    <col min="12" max="12" width="15.421875" style="49" hidden="1" customWidth="1" outlineLevel="1"/>
    <col min="13" max="13" width="15.57421875" style="49" hidden="1" customWidth="1" outlineLevel="1"/>
    <col min="14" max="14" width="15.00390625" style="49" hidden="1" customWidth="1" outlineLevel="1"/>
    <col min="15" max="15" width="15.421875" style="179" hidden="1" customWidth="1" outlineLevel="1"/>
    <col min="16" max="16" width="18.8515625" style="49" hidden="1" customWidth="1" outlineLevel="1"/>
    <col min="17" max="17" width="13.57421875" style="39" hidden="1" customWidth="1" outlineLevel="1"/>
    <col min="18" max="18" width="15.00390625" style="49" hidden="1" customWidth="1" outlineLevel="1"/>
    <col min="19" max="19" width="15.00390625" style="49" customWidth="1" collapsed="1"/>
    <col min="20" max="20" width="11.8515625" style="39" hidden="1" customWidth="1" outlineLevel="1"/>
    <col min="21" max="21" width="9.140625" style="8" customWidth="1" collapsed="1"/>
    <col min="22" max="16384" width="9.140625" style="8" customWidth="1"/>
  </cols>
  <sheetData>
    <row r="1" spans="6:20" ht="12">
      <c r="F1" s="53"/>
      <c r="H1" s="42"/>
      <c r="I1" s="53"/>
      <c r="J1" s="53"/>
      <c r="K1" s="53"/>
      <c r="L1" s="3"/>
      <c r="M1" s="42"/>
      <c r="N1" s="42"/>
      <c r="P1" s="42"/>
      <c r="Q1" s="35"/>
      <c r="R1" s="42"/>
      <c r="S1" s="3" t="s">
        <v>102</v>
      </c>
      <c r="T1" s="35"/>
    </row>
    <row r="2" spans="6:20" ht="46.5" customHeight="1">
      <c r="F2" s="54"/>
      <c r="H2" s="43"/>
      <c r="I2" s="54"/>
      <c r="J2" s="54"/>
      <c r="K2" s="54"/>
      <c r="L2" s="4"/>
      <c r="M2" s="43"/>
      <c r="N2" s="43"/>
      <c r="O2" s="180"/>
      <c r="P2" s="43"/>
      <c r="Q2" s="36"/>
      <c r="R2" s="43"/>
      <c r="S2" s="4" t="s">
        <v>16</v>
      </c>
      <c r="T2" s="36"/>
    </row>
    <row r="3" spans="5:20" ht="13.5" customHeight="1">
      <c r="E3" s="9"/>
      <c r="F3" s="53"/>
      <c r="H3" s="42"/>
      <c r="I3" s="53"/>
      <c r="J3" s="53"/>
      <c r="K3" s="53"/>
      <c r="L3" s="53"/>
      <c r="M3" s="42"/>
      <c r="N3" s="42"/>
      <c r="P3" s="42"/>
      <c r="Q3" s="3"/>
      <c r="R3" s="42"/>
      <c r="S3" s="53" t="s">
        <v>565</v>
      </c>
      <c r="T3" s="3"/>
    </row>
    <row r="4" spans="6:20" ht="12">
      <c r="F4" s="44"/>
      <c r="G4" s="44"/>
      <c r="H4" s="44"/>
      <c r="I4" s="44"/>
      <c r="J4" s="44"/>
      <c r="K4" s="44"/>
      <c r="L4" s="44"/>
      <c r="M4" s="44"/>
      <c r="N4" s="44"/>
      <c r="O4" s="181"/>
      <c r="P4" s="44"/>
      <c r="Q4" s="33"/>
      <c r="R4" s="44"/>
      <c r="S4" s="44"/>
      <c r="T4" s="33"/>
    </row>
    <row r="5" spans="1:20" ht="48.75" customHeight="1">
      <c r="A5" s="194" t="s">
        <v>562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5"/>
      <c r="N5" s="195"/>
      <c r="O5" s="195"/>
      <c r="P5" s="195"/>
      <c r="Q5" s="195"/>
      <c r="R5" s="195"/>
      <c r="S5" s="195"/>
      <c r="T5" s="8"/>
    </row>
    <row r="6" spans="5:20" ht="12">
      <c r="E6" s="10"/>
      <c r="F6" s="45"/>
      <c r="G6" s="45"/>
      <c r="H6" s="45"/>
      <c r="I6" s="45"/>
      <c r="J6" s="45"/>
      <c r="K6" s="45"/>
      <c r="L6" s="45"/>
      <c r="M6" s="45"/>
      <c r="N6" s="45"/>
      <c r="O6" s="180"/>
      <c r="P6" s="45"/>
      <c r="Q6" s="37"/>
      <c r="R6" s="45"/>
      <c r="S6" s="45"/>
      <c r="T6" s="37"/>
    </row>
    <row r="7" spans="5:20" ht="12">
      <c r="E7" s="10"/>
      <c r="F7" s="45"/>
      <c r="G7" s="45"/>
      <c r="H7" s="45"/>
      <c r="I7" s="45"/>
      <c r="J7" s="45"/>
      <c r="K7" s="45"/>
      <c r="L7" s="45"/>
      <c r="M7" s="45"/>
      <c r="N7" s="45"/>
      <c r="O7" s="180"/>
      <c r="P7" s="45"/>
      <c r="Q7" s="37"/>
      <c r="R7" s="45"/>
      <c r="S7" s="45"/>
      <c r="T7" s="37"/>
    </row>
    <row r="8" spans="1:20" s="12" customFormat="1" ht="43.5" customHeight="1">
      <c r="A8" s="2" t="s">
        <v>22</v>
      </c>
      <c r="B8" s="11" t="s">
        <v>23</v>
      </c>
      <c r="C8" s="11" t="s">
        <v>24</v>
      </c>
      <c r="D8" s="11" t="s">
        <v>25</v>
      </c>
      <c r="E8" s="11" t="s">
        <v>26</v>
      </c>
      <c r="F8" s="46" t="s">
        <v>106</v>
      </c>
      <c r="G8" s="46" t="s">
        <v>107</v>
      </c>
      <c r="H8" s="46" t="s">
        <v>521</v>
      </c>
      <c r="I8" s="46" t="s">
        <v>444</v>
      </c>
      <c r="J8" s="46" t="s">
        <v>451</v>
      </c>
      <c r="K8" s="52" t="s">
        <v>529</v>
      </c>
      <c r="L8" s="46" t="s">
        <v>455</v>
      </c>
      <c r="M8" s="46" t="s">
        <v>457</v>
      </c>
      <c r="N8" s="46" t="s">
        <v>458</v>
      </c>
      <c r="O8" s="182" t="s">
        <v>475</v>
      </c>
      <c r="P8" s="46" t="s">
        <v>480</v>
      </c>
      <c r="Q8" s="46" t="s">
        <v>558</v>
      </c>
      <c r="R8" s="46" t="s">
        <v>559</v>
      </c>
      <c r="S8" s="46" t="s">
        <v>106</v>
      </c>
      <c r="T8" s="46"/>
    </row>
    <row r="9" spans="1:20" ht="24" hidden="1">
      <c r="A9" s="5" t="s">
        <v>17</v>
      </c>
      <c r="B9" s="5"/>
      <c r="C9" s="5"/>
      <c r="D9" s="5"/>
      <c r="E9" s="13" t="s">
        <v>27</v>
      </c>
      <c r="F9" s="118">
        <f aca="true" t="shared" si="0" ref="F9:T9">F10</f>
        <v>6032.1</v>
      </c>
      <c r="G9" s="118">
        <f t="shared" si="0"/>
        <v>6736.823000000001</v>
      </c>
      <c r="H9" s="14">
        <f t="shared" si="0"/>
        <v>428.223</v>
      </c>
      <c r="I9" s="14">
        <f t="shared" si="0"/>
        <v>0</v>
      </c>
      <c r="J9" s="14">
        <f t="shared" si="0"/>
        <v>276.5</v>
      </c>
      <c r="K9" s="14">
        <f t="shared" si="0"/>
        <v>0</v>
      </c>
      <c r="L9" s="14">
        <f t="shared" si="0"/>
        <v>0</v>
      </c>
      <c r="M9" s="152">
        <f>M10</f>
        <v>0</v>
      </c>
      <c r="N9" s="14">
        <f t="shared" si="0"/>
        <v>0</v>
      </c>
      <c r="O9" s="182">
        <f t="shared" si="0"/>
        <v>0</v>
      </c>
      <c r="P9" s="14">
        <f t="shared" si="0"/>
        <v>0</v>
      </c>
      <c r="Q9" s="14">
        <f t="shared" si="0"/>
        <v>7.105427357601002E-15</v>
      </c>
      <c r="R9" s="14">
        <f t="shared" si="0"/>
        <v>0</v>
      </c>
      <c r="S9" s="14">
        <f t="shared" si="0"/>
        <v>0</v>
      </c>
      <c r="T9" s="14">
        <f t="shared" si="0"/>
        <v>0</v>
      </c>
    </row>
    <row r="10" spans="1:20" ht="12" hidden="1">
      <c r="A10" s="5"/>
      <c r="B10" s="5" t="s">
        <v>28</v>
      </c>
      <c r="C10" s="5"/>
      <c r="D10" s="5"/>
      <c r="E10" s="15" t="s">
        <v>29</v>
      </c>
      <c r="F10" s="118">
        <f>F11+F28</f>
        <v>6032.1</v>
      </c>
      <c r="G10" s="118">
        <f aca="true" t="shared" si="1" ref="G10:T10">G11+G28</f>
        <v>6736.823000000001</v>
      </c>
      <c r="H10" s="118">
        <f t="shared" si="1"/>
        <v>428.223</v>
      </c>
      <c r="I10" s="118">
        <f t="shared" si="1"/>
        <v>0</v>
      </c>
      <c r="J10" s="118">
        <f t="shared" si="1"/>
        <v>276.5</v>
      </c>
      <c r="K10" s="118">
        <f t="shared" si="1"/>
        <v>0</v>
      </c>
      <c r="L10" s="118">
        <f t="shared" si="1"/>
        <v>0</v>
      </c>
      <c r="M10" s="151">
        <f t="shared" si="1"/>
        <v>0</v>
      </c>
      <c r="N10" s="118">
        <f t="shared" si="1"/>
        <v>0</v>
      </c>
      <c r="O10" s="183">
        <f t="shared" si="1"/>
        <v>0</v>
      </c>
      <c r="P10" s="118">
        <f t="shared" si="1"/>
        <v>0</v>
      </c>
      <c r="Q10" s="118">
        <f t="shared" si="1"/>
        <v>7.105427357601002E-15</v>
      </c>
      <c r="R10" s="118">
        <f>R11+R28</f>
        <v>0</v>
      </c>
      <c r="S10" s="118">
        <f>S11+S28</f>
        <v>0</v>
      </c>
      <c r="T10" s="118">
        <f t="shared" si="1"/>
        <v>0</v>
      </c>
    </row>
    <row r="11" spans="1:20" ht="48" hidden="1">
      <c r="A11" s="5"/>
      <c r="B11" s="5" t="s">
        <v>30</v>
      </c>
      <c r="C11" s="16"/>
      <c r="D11" s="5"/>
      <c r="E11" s="13" t="s">
        <v>31</v>
      </c>
      <c r="F11" s="118">
        <f>F16+F12+F25</f>
        <v>6032.1</v>
      </c>
      <c r="G11" s="118">
        <f aca="true" t="shared" si="2" ref="G11:T11">G16+G12+G25</f>
        <v>6258.300000000001</v>
      </c>
      <c r="H11" s="118">
        <f t="shared" si="2"/>
        <v>0</v>
      </c>
      <c r="I11" s="118">
        <f t="shared" si="2"/>
        <v>0</v>
      </c>
      <c r="J11" s="118">
        <f t="shared" si="2"/>
        <v>226.2</v>
      </c>
      <c r="K11" s="118">
        <f t="shared" si="2"/>
        <v>0</v>
      </c>
      <c r="L11" s="118">
        <f t="shared" si="2"/>
        <v>0</v>
      </c>
      <c r="M11" s="151">
        <f t="shared" si="2"/>
        <v>0</v>
      </c>
      <c r="N11" s="118">
        <f t="shared" si="2"/>
        <v>0</v>
      </c>
      <c r="O11" s="183">
        <f t="shared" si="2"/>
        <v>0</v>
      </c>
      <c r="P11" s="118">
        <f t="shared" si="2"/>
        <v>0</v>
      </c>
      <c r="Q11" s="118">
        <f t="shared" si="2"/>
        <v>7.105427357601002E-15</v>
      </c>
      <c r="R11" s="118">
        <f>R16+R12+R25</f>
        <v>0</v>
      </c>
      <c r="S11" s="118">
        <f>S16+S12+S25</f>
        <v>0</v>
      </c>
      <c r="T11" s="118">
        <f t="shared" si="2"/>
        <v>0</v>
      </c>
    </row>
    <row r="12" spans="1:20" ht="38.25" hidden="1">
      <c r="A12" s="5"/>
      <c r="B12" s="5"/>
      <c r="C12" s="63" t="s">
        <v>260</v>
      </c>
      <c r="D12" s="11"/>
      <c r="E12" s="60" t="s">
        <v>443</v>
      </c>
      <c r="F12" s="95">
        <f>F13</f>
        <v>10</v>
      </c>
      <c r="G12" s="95">
        <f aca="true" t="shared" si="3" ref="G12:T14">G13</f>
        <v>36.6</v>
      </c>
      <c r="H12" s="95">
        <f t="shared" si="3"/>
        <v>0</v>
      </c>
      <c r="I12" s="95">
        <f t="shared" si="3"/>
        <v>0</v>
      </c>
      <c r="J12" s="95">
        <f t="shared" si="3"/>
        <v>0</v>
      </c>
      <c r="K12" s="95">
        <f t="shared" si="3"/>
        <v>0</v>
      </c>
      <c r="L12" s="95">
        <f t="shared" si="3"/>
        <v>0</v>
      </c>
      <c r="M12" s="131">
        <f t="shared" si="3"/>
        <v>0</v>
      </c>
      <c r="N12" s="95">
        <f t="shared" si="3"/>
        <v>0</v>
      </c>
      <c r="O12" s="184">
        <f t="shared" si="3"/>
        <v>0</v>
      </c>
      <c r="P12" s="95">
        <f t="shared" si="3"/>
        <v>0</v>
      </c>
      <c r="Q12" s="95">
        <f t="shared" si="3"/>
        <v>26.6</v>
      </c>
      <c r="R12" s="95">
        <f t="shared" si="3"/>
        <v>0</v>
      </c>
      <c r="S12" s="95">
        <f t="shared" si="3"/>
        <v>0</v>
      </c>
      <c r="T12" s="95">
        <f t="shared" si="3"/>
        <v>0</v>
      </c>
    </row>
    <row r="13" spans="1:20" ht="38.25" hidden="1">
      <c r="A13" s="5"/>
      <c r="B13" s="5"/>
      <c r="C13" s="82" t="s">
        <v>261</v>
      </c>
      <c r="D13" s="99"/>
      <c r="E13" s="61" t="s">
        <v>263</v>
      </c>
      <c r="F13" s="79">
        <f>F14</f>
        <v>10</v>
      </c>
      <c r="G13" s="79">
        <f t="shared" si="3"/>
        <v>36.6</v>
      </c>
      <c r="H13" s="79">
        <f t="shared" si="3"/>
        <v>0</v>
      </c>
      <c r="I13" s="79">
        <f t="shared" si="3"/>
        <v>0</v>
      </c>
      <c r="J13" s="79">
        <f t="shared" si="3"/>
        <v>0</v>
      </c>
      <c r="K13" s="79">
        <f t="shared" si="3"/>
        <v>0</v>
      </c>
      <c r="L13" s="79">
        <f t="shared" si="3"/>
        <v>0</v>
      </c>
      <c r="M13" s="96">
        <f t="shared" si="3"/>
        <v>0</v>
      </c>
      <c r="N13" s="79">
        <f t="shared" si="3"/>
        <v>0</v>
      </c>
      <c r="O13" s="115">
        <f t="shared" si="3"/>
        <v>0</v>
      </c>
      <c r="P13" s="79">
        <f t="shared" si="3"/>
        <v>0</v>
      </c>
      <c r="Q13" s="79">
        <f t="shared" si="3"/>
        <v>26.6</v>
      </c>
      <c r="R13" s="79">
        <f t="shared" si="3"/>
        <v>0</v>
      </c>
      <c r="S13" s="79">
        <f t="shared" si="3"/>
        <v>0</v>
      </c>
      <c r="T13" s="79">
        <f t="shared" si="3"/>
        <v>0</v>
      </c>
    </row>
    <row r="14" spans="1:20" ht="25.5" hidden="1">
      <c r="A14" s="5"/>
      <c r="B14" s="5"/>
      <c r="C14" s="66" t="s">
        <v>262</v>
      </c>
      <c r="D14" s="41"/>
      <c r="E14" s="57" t="s">
        <v>264</v>
      </c>
      <c r="F14" s="79">
        <f>F15</f>
        <v>10</v>
      </c>
      <c r="G14" s="79">
        <f t="shared" si="3"/>
        <v>36.6</v>
      </c>
      <c r="H14" s="79">
        <f t="shared" si="3"/>
        <v>0</v>
      </c>
      <c r="I14" s="79">
        <f t="shared" si="3"/>
        <v>0</v>
      </c>
      <c r="J14" s="79">
        <f t="shared" si="3"/>
        <v>0</v>
      </c>
      <c r="K14" s="79">
        <f t="shared" si="3"/>
        <v>0</v>
      </c>
      <c r="L14" s="79">
        <f t="shared" si="3"/>
        <v>0</v>
      </c>
      <c r="M14" s="96">
        <f t="shared" si="3"/>
        <v>0</v>
      </c>
      <c r="N14" s="79">
        <f t="shared" si="3"/>
        <v>0</v>
      </c>
      <c r="O14" s="115">
        <f t="shared" si="3"/>
        <v>0</v>
      </c>
      <c r="P14" s="79">
        <f t="shared" si="3"/>
        <v>0</v>
      </c>
      <c r="Q14" s="79">
        <f t="shared" si="3"/>
        <v>26.6</v>
      </c>
      <c r="R14" s="79">
        <f t="shared" si="3"/>
        <v>0</v>
      </c>
      <c r="S14" s="79">
        <f t="shared" si="3"/>
        <v>0</v>
      </c>
      <c r="T14" s="79">
        <f t="shared" si="3"/>
        <v>0</v>
      </c>
    </row>
    <row r="15" spans="1:20" ht="25.5" hidden="1">
      <c r="A15" s="5"/>
      <c r="B15" s="5"/>
      <c r="C15" s="66"/>
      <c r="D15" s="41" t="s">
        <v>3</v>
      </c>
      <c r="E15" s="67" t="s">
        <v>95</v>
      </c>
      <c r="F15" s="79">
        <v>10</v>
      </c>
      <c r="G15" s="93">
        <f>F15+SUM(H15:T15)</f>
        <v>36.6</v>
      </c>
      <c r="H15" s="14"/>
      <c r="I15" s="14"/>
      <c r="J15" s="14"/>
      <c r="K15" s="125"/>
      <c r="L15" s="14"/>
      <c r="M15" s="152"/>
      <c r="N15" s="14"/>
      <c r="O15" s="182"/>
      <c r="P15" s="14"/>
      <c r="Q15" s="125">
        <v>26.6</v>
      </c>
      <c r="R15" s="14"/>
      <c r="S15" s="14"/>
      <c r="T15" s="14"/>
    </row>
    <row r="16" spans="1:20" ht="25.5" hidden="1">
      <c r="A16" s="17"/>
      <c r="B16" s="17"/>
      <c r="C16" s="63" t="s">
        <v>419</v>
      </c>
      <c r="D16" s="11"/>
      <c r="E16" s="84" t="s">
        <v>154</v>
      </c>
      <c r="F16" s="95">
        <f>F17+F21+F23</f>
        <v>5650.5</v>
      </c>
      <c r="G16" s="95">
        <f aca="true" t="shared" si="4" ref="G16:T16">G17+G21+G23</f>
        <v>5850.1</v>
      </c>
      <c r="H16" s="73">
        <f t="shared" si="4"/>
        <v>0</v>
      </c>
      <c r="I16" s="73">
        <f t="shared" si="4"/>
        <v>0</v>
      </c>
      <c r="J16" s="73">
        <f t="shared" si="4"/>
        <v>226.2</v>
      </c>
      <c r="K16" s="73">
        <f t="shared" si="4"/>
        <v>0</v>
      </c>
      <c r="L16" s="73">
        <f t="shared" si="4"/>
        <v>0</v>
      </c>
      <c r="M16" s="77">
        <f t="shared" si="4"/>
        <v>0</v>
      </c>
      <c r="N16" s="73">
        <f t="shared" si="4"/>
        <v>0</v>
      </c>
      <c r="O16" s="50">
        <f t="shared" si="4"/>
        <v>0</v>
      </c>
      <c r="P16" s="73">
        <f t="shared" si="4"/>
        <v>0</v>
      </c>
      <c r="Q16" s="73">
        <f t="shared" si="4"/>
        <v>-26.599999999999994</v>
      </c>
      <c r="R16" s="73">
        <f>R17+R21+R23</f>
        <v>0</v>
      </c>
      <c r="S16" s="73">
        <f>S17+S21+S23</f>
        <v>0</v>
      </c>
      <c r="T16" s="73">
        <f t="shared" si="4"/>
        <v>0</v>
      </c>
    </row>
    <row r="17" spans="1:20" ht="25.5" hidden="1">
      <c r="A17" s="17"/>
      <c r="B17" s="17"/>
      <c r="C17" s="66" t="s">
        <v>421</v>
      </c>
      <c r="D17" s="41"/>
      <c r="E17" s="83" t="s">
        <v>166</v>
      </c>
      <c r="F17" s="79">
        <f>F18+F19+F20</f>
        <v>2313.6</v>
      </c>
      <c r="G17" s="79">
        <f>G18+G19+G20</f>
        <v>2547.09</v>
      </c>
      <c r="H17" s="68">
        <f aca="true" t="shared" si="5" ref="H17:T17">H18+H19+H20</f>
        <v>0</v>
      </c>
      <c r="I17" s="68">
        <f t="shared" si="5"/>
        <v>0</v>
      </c>
      <c r="J17" s="68">
        <f t="shared" si="5"/>
        <v>179.9</v>
      </c>
      <c r="K17" s="68">
        <f t="shared" si="5"/>
        <v>0</v>
      </c>
      <c r="L17" s="68">
        <f t="shared" si="5"/>
        <v>0</v>
      </c>
      <c r="M17" s="70">
        <f t="shared" si="5"/>
        <v>0</v>
      </c>
      <c r="N17" s="68">
        <f t="shared" si="5"/>
        <v>0</v>
      </c>
      <c r="O17" s="51">
        <f t="shared" si="5"/>
        <v>0</v>
      </c>
      <c r="P17" s="68">
        <f t="shared" si="5"/>
        <v>0</v>
      </c>
      <c r="Q17" s="68">
        <f t="shared" si="5"/>
        <v>53.59</v>
      </c>
      <c r="R17" s="68">
        <f>R18+R19+R20</f>
        <v>0</v>
      </c>
      <c r="S17" s="68">
        <f>S18+S19+S20</f>
        <v>0</v>
      </c>
      <c r="T17" s="68">
        <f t="shared" si="5"/>
        <v>0</v>
      </c>
    </row>
    <row r="18" spans="1:20" ht="51" hidden="1">
      <c r="A18" s="17"/>
      <c r="B18" s="17"/>
      <c r="C18" s="66"/>
      <c r="D18" s="41" t="s">
        <v>2</v>
      </c>
      <c r="E18" s="67" t="s">
        <v>94</v>
      </c>
      <c r="F18" s="79">
        <v>1907</v>
      </c>
      <c r="G18" s="93">
        <f>F18+SUM(H18:T18)</f>
        <v>2086.9</v>
      </c>
      <c r="H18" s="68"/>
      <c r="I18" s="68"/>
      <c r="J18" s="68">
        <v>179.9</v>
      </c>
      <c r="K18" s="68"/>
      <c r="L18" s="68"/>
      <c r="M18" s="70"/>
      <c r="N18" s="68"/>
      <c r="O18" s="51"/>
      <c r="P18" s="68"/>
      <c r="Q18" s="68"/>
      <c r="R18" s="68"/>
      <c r="S18" s="68"/>
      <c r="T18" s="68"/>
    </row>
    <row r="19" spans="1:20" ht="25.5" hidden="1">
      <c r="A19" s="17"/>
      <c r="B19" s="17"/>
      <c r="C19" s="66"/>
      <c r="D19" s="41" t="s">
        <v>3</v>
      </c>
      <c r="E19" s="67" t="s">
        <v>95</v>
      </c>
      <c r="F19" s="79">
        <v>406.2</v>
      </c>
      <c r="G19" s="93">
        <f>F19+SUM(H19:T19)</f>
        <v>459.78999999999996</v>
      </c>
      <c r="H19" s="68"/>
      <c r="I19" s="68"/>
      <c r="J19" s="69"/>
      <c r="K19" s="69"/>
      <c r="L19" s="68"/>
      <c r="M19" s="70"/>
      <c r="N19" s="68"/>
      <c r="O19" s="51"/>
      <c r="P19" s="68"/>
      <c r="Q19" s="68">
        <v>53.59</v>
      </c>
      <c r="R19" s="68"/>
      <c r="S19" s="68"/>
      <c r="T19" s="68"/>
    </row>
    <row r="20" spans="1:20" ht="12.75" hidden="1">
      <c r="A20" s="17"/>
      <c r="B20" s="17"/>
      <c r="C20" s="66"/>
      <c r="D20" s="41" t="s">
        <v>4</v>
      </c>
      <c r="E20" s="67" t="s">
        <v>5</v>
      </c>
      <c r="F20" s="79">
        <v>0.4</v>
      </c>
      <c r="G20" s="93">
        <f>F20+SUM(H20:T20)</f>
        <v>0.4</v>
      </c>
      <c r="H20" s="68"/>
      <c r="I20" s="68"/>
      <c r="J20" s="69"/>
      <c r="K20" s="69"/>
      <c r="L20" s="68"/>
      <c r="M20" s="70"/>
      <c r="N20" s="68"/>
      <c r="O20" s="51"/>
      <c r="P20" s="68"/>
      <c r="Q20" s="68"/>
      <c r="R20" s="68"/>
      <c r="S20" s="68"/>
      <c r="T20" s="68"/>
    </row>
    <row r="21" spans="1:20" ht="25.5" hidden="1">
      <c r="A21" s="17"/>
      <c r="B21" s="17"/>
      <c r="C21" s="66" t="s">
        <v>420</v>
      </c>
      <c r="D21" s="41"/>
      <c r="E21" s="83" t="s">
        <v>101</v>
      </c>
      <c r="F21" s="79">
        <f>F22</f>
        <v>1305.3</v>
      </c>
      <c r="G21" s="79">
        <f aca="true" t="shared" si="6" ref="G21:T21">G22</f>
        <v>1351.6</v>
      </c>
      <c r="H21" s="68">
        <f t="shared" si="6"/>
        <v>0</v>
      </c>
      <c r="I21" s="68">
        <f t="shared" si="6"/>
        <v>0</v>
      </c>
      <c r="J21" s="68">
        <f t="shared" si="6"/>
        <v>46.3</v>
      </c>
      <c r="K21" s="68">
        <f t="shared" si="6"/>
        <v>0</v>
      </c>
      <c r="L21" s="68">
        <f t="shared" si="6"/>
        <v>0</v>
      </c>
      <c r="M21" s="70">
        <f t="shared" si="6"/>
        <v>0</v>
      </c>
      <c r="N21" s="68">
        <f t="shared" si="6"/>
        <v>0</v>
      </c>
      <c r="O21" s="51">
        <f t="shared" si="6"/>
        <v>0</v>
      </c>
      <c r="P21" s="68">
        <f t="shared" si="6"/>
        <v>0</v>
      </c>
      <c r="Q21" s="68">
        <f t="shared" si="6"/>
        <v>0</v>
      </c>
      <c r="R21" s="68">
        <f t="shared" si="6"/>
        <v>0</v>
      </c>
      <c r="S21" s="68">
        <f t="shared" si="6"/>
        <v>0</v>
      </c>
      <c r="T21" s="68">
        <f t="shared" si="6"/>
        <v>0</v>
      </c>
    </row>
    <row r="22" spans="1:20" ht="51" hidden="1">
      <c r="A22" s="17"/>
      <c r="B22" s="17"/>
      <c r="C22" s="41"/>
      <c r="D22" s="41" t="s">
        <v>2</v>
      </c>
      <c r="E22" s="67" t="s">
        <v>94</v>
      </c>
      <c r="F22" s="79">
        <v>1305.3</v>
      </c>
      <c r="G22" s="93">
        <f>F22+SUM(H22:T22)</f>
        <v>1351.6</v>
      </c>
      <c r="H22" s="68"/>
      <c r="I22" s="68"/>
      <c r="J22" s="69">
        <v>46.3</v>
      </c>
      <c r="K22" s="69"/>
      <c r="L22" s="68"/>
      <c r="M22" s="70"/>
      <c r="N22" s="68"/>
      <c r="O22" s="51"/>
      <c r="P22" s="68"/>
      <c r="Q22" s="68"/>
      <c r="R22" s="68"/>
      <c r="S22" s="68"/>
      <c r="T22" s="68"/>
    </row>
    <row r="23" spans="1:20" ht="25.5" hidden="1">
      <c r="A23" s="17"/>
      <c r="B23" s="17"/>
      <c r="C23" s="66" t="s">
        <v>423</v>
      </c>
      <c r="D23" s="41"/>
      <c r="E23" s="83" t="s">
        <v>92</v>
      </c>
      <c r="F23" s="79">
        <f>F24</f>
        <v>2031.6000000000001</v>
      </c>
      <c r="G23" s="79">
        <f aca="true" t="shared" si="7" ref="G23:T23">G24</f>
        <v>1951.41</v>
      </c>
      <c r="H23" s="68">
        <f t="shared" si="7"/>
        <v>0</v>
      </c>
      <c r="I23" s="68">
        <f t="shared" si="7"/>
        <v>0</v>
      </c>
      <c r="J23" s="68">
        <f t="shared" si="7"/>
        <v>0</v>
      </c>
      <c r="K23" s="68">
        <f t="shared" si="7"/>
        <v>0</v>
      </c>
      <c r="L23" s="68">
        <f t="shared" si="7"/>
        <v>0</v>
      </c>
      <c r="M23" s="70">
        <f t="shared" si="7"/>
        <v>0</v>
      </c>
      <c r="N23" s="68">
        <f t="shared" si="7"/>
        <v>0</v>
      </c>
      <c r="O23" s="51">
        <f t="shared" si="7"/>
        <v>0</v>
      </c>
      <c r="P23" s="68">
        <f t="shared" si="7"/>
        <v>0</v>
      </c>
      <c r="Q23" s="68">
        <f t="shared" si="7"/>
        <v>-80.19</v>
      </c>
      <c r="R23" s="68">
        <f t="shared" si="7"/>
        <v>0</v>
      </c>
      <c r="S23" s="68">
        <f t="shared" si="7"/>
        <v>0</v>
      </c>
      <c r="T23" s="68">
        <f t="shared" si="7"/>
        <v>0</v>
      </c>
    </row>
    <row r="24" spans="1:20" ht="64.5" customHeight="1" hidden="1">
      <c r="A24" s="17"/>
      <c r="B24" s="17"/>
      <c r="C24" s="66"/>
      <c r="D24" s="41" t="s">
        <v>2</v>
      </c>
      <c r="E24" s="67" t="s">
        <v>94</v>
      </c>
      <c r="F24" s="79">
        <f>2179.9-148.3</f>
        <v>2031.6000000000001</v>
      </c>
      <c r="G24" s="93">
        <f>F24+SUM(H24:T24)</f>
        <v>1951.41</v>
      </c>
      <c r="H24" s="68"/>
      <c r="I24" s="68"/>
      <c r="J24" s="69"/>
      <c r="K24" s="69"/>
      <c r="L24" s="68"/>
      <c r="M24" s="70"/>
      <c r="N24" s="68"/>
      <c r="O24" s="51"/>
      <c r="P24" s="68"/>
      <c r="Q24" s="68">
        <v>-80.19</v>
      </c>
      <c r="R24" s="68"/>
      <c r="S24" s="68"/>
      <c r="T24" s="68"/>
    </row>
    <row r="25" spans="1:20" ht="38.25" hidden="1">
      <c r="A25" s="17"/>
      <c r="B25" s="17"/>
      <c r="C25" s="63" t="s">
        <v>424</v>
      </c>
      <c r="D25" s="11"/>
      <c r="E25" s="113" t="s">
        <v>142</v>
      </c>
      <c r="F25" s="95">
        <f>F26</f>
        <v>371.6</v>
      </c>
      <c r="G25" s="95">
        <f aca="true" t="shared" si="8" ref="G25:T26">G26</f>
        <v>371.6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7">
        <f t="shared" si="8"/>
        <v>0</v>
      </c>
      <c r="N25" s="73">
        <f t="shared" si="8"/>
        <v>0</v>
      </c>
      <c r="O25" s="50">
        <f t="shared" si="8"/>
        <v>0</v>
      </c>
      <c r="P25" s="73">
        <f t="shared" si="8"/>
        <v>0</v>
      </c>
      <c r="Q25" s="73">
        <f t="shared" si="8"/>
        <v>0</v>
      </c>
      <c r="R25" s="73">
        <f t="shared" si="8"/>
        <v>0</v>
      </c>
      <c r="S25" s="73">
        <f t="shared" si="8"/>
        <v>0</v>
      </c>
      <c r="T25" s="73">
        <f t="shared" si="8"/>
        <v>0</v>
      </c>
    </row>
    <row r="26" spans="1:20" ht="18" customHeight="1" hidden="1">
      <c r="A26" s="17"/>
      <c r="B26" s="5"/>
      <c r="C26" s="66" t="s">
        <v>486</v>
      </c>
      <c r="D26" s="41"/>
      <c r="E26" s="67" t="s">
        <v>487</v>
      </c>
      <c r="F26" s="79">
        <f>F27</f>
        <v>371.6</v>
      </c>
      <c r="G26" s="79">
        <f t="shared" si="8"/>
        <v>371.6</v>
      </c>
      <c r="H26" s="68">
        <f t="shared" si="8"/>
        <v>0</v>
      </c>
      <c r="I26" s="68">
        <f t="shared" si="8"/>
        <v>0</v>
      </c>
      <c r="J26" s="68">
        <f t="shared" si="8"/>
        <v>0</v>
      </c>
      <c r="K26" s="68">
        <f t="shared" si="8"/>
        <v>0</v>
      </c>
      <c r="L26" s="68">
        <f t="shared" si="8"/>
        <v>0</v>
      </c>
      <c r="M26" s="70">
        <f t="shared" si="8"/>
        <v>0</v>
      </c>
      <c r="N26" s="68">
        <f t="shared" si="8"/>
        <v>0</v>
      </c>
      <c r="O26" s="51">
        <f t="shared" si="8"/>
        <v>0</v>
      </c>
      <c r="P26" s="68">
        <f t="shared" si="8"/>
        <v>0</v>
      </c>
      <c r="Q26" s="68">
        <f t="shared" si="8"/>
        <v>0</v>
      </c>
      <c r="R26" s="68">
        <f t="shared" si="8"/>
        <v>0</v>
      </c>
      <c r="S26" s="68">
        <f t="shared" si="8"/>
        <v>0</v>
      </c>
      <c r="T26" s="68">
        <f t="shared" si="8"/>
        <v>0</v>
      </c>
    </row>
    <row r="27" spans="1:20" ht="12.75" hidden="1">
      <c r="A27" s="17"/>
      <c r="B27" s="17"/>
      <c r="C27" s="66"/>
      <c r="D27" s="41" t="s">
        <v>9</v>
      </c>
      <c r="E27" s="67" t="s">
        <v>37</v>
      </c>
      <c r="F27" s="79">
        <v>371.6</v>
      </c>
      <c r="G27" s="93">
        <f>F27+SUM(H27:T27)</f>
        <v>371.6</v>
      </c>
      <c r="H27" s="68"/>
      <c r="I27" s="68"/>
      <c r="J27" s="69"/>
      <c r="K27" s="69"/>
      <c r="L27" s="68"/>
      <c r="M27" s="70"/>
      <c r="N27" s="68"/>
      <c r="O27" s="51"/>
      <c r="P27" s="68"/>
      <c r="Q27" s="68"/>
      <c r="R27" s="68"/>
      <c r="S27" s="68"/>
      <c r="T27" s="68"/>
    </row>
    <row r="28" spans="1:20" ht="12.75" hidden="1">
      <c r="A28" s="17"/>
      <c r="B28" s="11" t="s">
        <v>84</v>
      </c>
      <c r="C28" s="11"/>
      <c r="D28" s="11"/>
      <c r="E28" s="111" t="s">
        <v>39</v>
      </c>
      <c r="F28" s="95">
        <f>F29+F37</f>
        <v>0</v>
      </c>
      <c r="G28" s="95">
        <f aca="true" t="shared" si="9" ref="G28:T28">G29+G37</f>
        <v>478.523</v>
      </c>
      <c r="H28" s="95">
        <f t="shared" si="9"/>
        <v>428.223</v>
      </c>
      <c r="I28" s="95">
        <f t="shared" si="9"/>
        <v>0</v>
      </c>
      <c r="J28" s="95">
        <f t="shared" si="9"/>
        <v>50.3</v>
      </c>
      <c r="K28" s="95">
        <f t="shared" si="9"/>
        <v>0</v>
      </c>
      <c r="L28" s="95">
        <f t="shared" si="9"/>
        <v>0</v>
      </c>
      <c r="M28" s="131">
        <f t="shared" si="9"/>
        <v>0</v>
      </c>
      <c r="N28" s="95">
        <f t="shared" si="9"/>
        <v>0</v>
      </c>
      <c r="O28" s="184">
        <f t="shared" si="9"/>
        <v>0</v>
      </c>
      <c r="P28" s="95">
        <f t="shared" si="9"/>
        <v>0</v>
      </c>
      <c r="Q28" s="95">
        <f t="shared" si="9"/>
        <v>0</v>
      </c>
      <c r="R28" s="95">
        <f>R29+R37</f>
        <v>0</v>
      </c>
      <c r="S28" s="95">
        <f>S29+S37</f>
        <v>0</v>
      </c>
      <c r="T28" s="95">
        <f t="shared" si="9"/>
        <v>0</v>
      </c>
    </row>
    <row r="29" spans="1:20" ht="51" hidden="1">
      <c r="A29" s="17"/>
      <c r="B29" s="17"/>
      <c r="C29" s="63" t="s">
        <v>241</v>
      </c>
      <c r="D29" s="11"/>
      <c r="E29" s="60" t="s">
        <v>118</v>
      </c>
      <c r="F29" s="95">
        <f>F30</f>
        <v>0</v>
      </c>
      <c r="G29" s="95">
        <f>G30</f>
        <v>428.223</v>
      </c>
      <c r="H29" s="95">
        <f aca="true" t="shared" si="10" ref="H29:T29">H30</f>
        <v>428.223</v>
      </c>
      <c r="I29" s="95">
        <f t="shared" si="10"/>
        <v>0</v>
      </c>
      <c r="J29" s="95">
        <f t="shared" si="10"/>
        <v>0</v>
      </c>
      <c r="K29" s="95">
        <f t="shared" si="10"/>
        <v>0</v>
      </c>
      <c r="L29" s="95">
        <f t="shared" si="10"/>
        <v>0</v>
      </c>
      <c r="M29" s="131">
        <f t="shared" si="10"/>
        <v>0</v>
      </c>
      <c r="N29" s="95">
        <f t="shared" si="10"/>
        <v>0</v>
      </c>
      <c r="O29" s="184">
        <f t="shared" si="10"/>
        <v>0</v>
      </c>
      <c r="P29" s="95">
        <f t="shared" si="10"/>
        <v>0</v>
      </c>
      <c r="Q29" s="95">
        <f t="shared" si="10"/>
        <v>0</v>
      </c>
      <c r="R29" s="95">
        <f t="shared" si="10"/>
        <v>0</v>
      </c>
      <c r="S29" s="95">
        <f t="shared" si="10"/>
        <v>0</v>
      </c>
      <c r="T29" s="95">
        <f t="shared" si="10"/>
        <v>0</v>
      </c>
    </row>
    <row r="30" spans="1:20" ht="51" hidden="1">
      <c r="A30" s="17"/>
      <c r="B30" s="17"/>
      <c r="C30" s="82" t="s">
        <v>255</v>
      </c>
      <c r="D30" s="41"/>
      <c r="E30" s="61" t="s">
        <v>120</v>
      </c>
      <c r="F30" s="79">
        <f>F31+F34</f>
        <v>0</v>
      </c>
      <c r="G30" s="79">
        <f aca="true" t="shared" si="11" ref="G30:T30">G31+G34</f>
        <v>428.223</v>
      </c>
      <c r="H30" s="79">
        <f t="shared" si="11"/>
        <v>428.223</v>
      </c>
      <c r="I30" s="79">
        <f t="shared" si="11"/>
        <v>0</v>
      </c>
      <c r="J30" s="79">
        <f t="shared" si="11"/>
        <v>0</v>
      </c>
      <c r="K30" s="79">
        <f t="shared" si="11"/>
        <v>0</v>
      </c>
      <c r="L30" s="79">
        <f t="shared" si="11"/>
        <v>0</v>
      </c>
      <c r="M30" s="96">
        <f t="shared" si="11"/>
        <v>0</v>
      </c>
      <c r="N30" s="79">
        <f t="shared" si="11"/>
        <v>0</v>
      </c>
      <c r="O30" s="115">
        <f t="shared" si="11"/>
        <v>0</v>
      </c>
      <c r="P30" s="79">
        <f t="shared" si="11"/>
        <v>0</v>
      </c>
      <c r="Q30" s="79">
        <f t="shared" si="11"/>
        <v>0</v>
      </c>
      <c r="R30" s="79">
        <f>R31+R34</f>
        <v>0</v>
      </c>
      <c r="S30" s="79">
        <f>S31+S34</f>
        <v>0</v>
      </c>
      <c r="T30" s="79">
        <f t="shared" si="11"/>
        <v>0</v>
      </c>
    </row>
    <row r="31" spans="1:20" ht="51" hidden="1">
      <c r="A31" s="17"/>
      <c r="B31" s="17"/>
      <c r="C31" s="66" t="s">
        <v>256</v>
      </c>
      <c r="D31" s="41"/>
      <c r="E31" s="67" t="s">
        <v>545</v>
      </c>
      <c r="F31" s="79">
        <f>F32</f>
        <v>0</v>
      </c>
      <c r="G31" s="79">
        <f aca="true" t="shared" si="12" ref="G31:T32">G32</f>
        <v>428.223</v>
      </c>
      <c r="H31" s="79">
        <f t="shared" si="12"/>
        <v>0</v>
      </c>
      <c r="I31" s="79">
        <f t="shared" si="12"/>
        <v>0</v>
      </c>
      <c r="J31" s="79">
        <f t="shared" si="12"/>
        <v>0</v>
      </c>
      <c r="K31" s="79">
        <f t="shared" si="12"/>
        <v>0</v>
      </c>
      <c r="L31" s="79">
        <f t="shared" si="12"/>
        <v>0</v>
      </c>
      <c r="M31" s="96">
        <f t="shared" si="12"/>
        <v>428.223</v>
      </c>
      <c r="N31" s="79">
        <f t="shared" si="12"/>
        <v>0</v>
      </c>
      <c r="O31" s="115">
        <f t="shared" si="12"/>
        <v>0</v>
      </c>
      <c r="P31" s="79">
        <f t="shared" si="12"/>
        <v>0</v>
      </c>
      <c r="Q31" s="79">
        <f t="shared" si="12"/>
        <v>0</v>
      </c>
      <c r="R31" s="79">
        <f t="shared" si="12"/>
        <v>0</v>
      </c>
      <c r="S31" s="79">
        <f t="shared" si="12"/>
        <v>0</v>
      </c>
      <c r="T31" s="79">
        <f t="shared" si="12"/>
        <v>0</v>
      </c>
    </row>
    <row r="32" spans="1:20" ht="76.5" hidden="1">
      <c r="A32" s="17"/>
      <c r="B32" s="17"/>
      <c r="C32" s="66" t="s">
        <v>257</v>
      </c>
      <c r="D32" s="41"/>
      <c r="E32" s="67" t="s">
        <v>546</v>
      </c>
      <c r="F32" s="79">
        <f>F33</f>
        <v>0</v>
      </c>
      <c r="G32" s="79">
        <f t="shared" si="12"/>
        <v>428.223</v>
      </c>
      <c r="H32" s="79">
        <f t="shared" si="12"/>
        <v>0</v>
      </c>
      <c r="I32" s="79">
        <f t="shared" si="12"/>
        <v>0</v>
      </c>
      <c r="J32" s="79">
        <f t="shared" si="12"/>
        <v>0</v>
      </c>
      <c r="K32" s="79">
        <f t="shared" si="12"/>
        <v>0</v>
      </c>
      <c r="L32" s="79">
        <f t="shared" si="12"/>
        <v>0</v>
      </c>
      <c r="M32" s="96">
        <f t="shared" si="12"/>
        <v>428.223</v>
      </c>
      <c r="N32" s="79">
        <f t="shared" si="12"/>
        <v>0</v>
      </c>
      <c r="O32" s="115">
        <f t="shared" si="12"/>
        <v>0</v>
      </c>
      <c r="P32" s="79">
        <f t="shared" si="12"/>
        <v>0</v>
      </c>
      <c r="Q32" s="79">
        <f t="shared" si="12"/>
        <v>0</v>
      </c>
      <c r="R32" s="79">
        <f t="shared" si="12"/>
        <v>0</v>
      </c>
      <c r="S32" s="79">
        <f t="shared" si="12"/>
        <v>0</v>
      </c>
      <c r="T32" s="79">
        <f t="shared" si="12"/>
        <v>0</v>
      </c>
    </row>
    <row r="33" spans="1:20" ht="25.5" hidden="1">
      <c r="A33" s="17"/>
      <c r="B33" s="17"/>
      <c r="C33" s="66"/>
      <c r="D33" s="41" t="s">
        <v>3</v>
      </c>
      <c r="E33" s="67" t="s">
        <v>95</v>
      </c>
      <c r="F33" s="95"/>
      <c r="G33" s="93">
        <f>F33+SUM(H33:T33)</f>
        <v>428.223</v>
      </c>
      <c r="H33" s="79"/>
      <c r="I33" s="79"/>
      <c r="J33" s="79"/>
      <c r="K33" s="79"/>
      <c r="L33" s="79"/>
      <c r="M33" s="96">
        <f>428.223</f>
        <v>428.223</v>
      </c>
      <c r="N33" s="95"/>
      <c r="O33" s="184"/>
      <c r="P33" s="95"/>
      <c r="Q33" s="95"/>
      <c r="R33" s="95"/>
      <c r="S33" s="95"/>
      <c r="T33" s="95"/>
    </row>
    <row r="34" spans="1:20" ht="51" hidden="1">
      <c r="A34" s="17"/>
      <c r="B34" s="17"/>
      <c r="C34" s="66" t="s">
        <v>256</v>
      </c>
      <c r="D34" s="41"/>
      <c r="E34" s="57" t="s">
        <v>258</v>
      </c>
      <c r="F34" s="79">
        <f>F35</f>
        <v>0</v>
      </c>
      <c r="G34" s="79">
        <f aca="true" t="shared" si="13" ref="G34:T34">G35</f>
        <v>0</v>
      </c>
      <c r="H34" s="79">
        <f t="shared" si="13"/>
        <v>428.223</v>
      </c>
      <c r="I34" s="79">
        <f t="shared" si="13"/>
        <v>0</v>
      </c>
      <c r="J34" s="79">
        <f t="shared" si="13"/>
        <v>0</v>
      </c>
      <c r="K34" s="79">
        <f t="shared" si="13"/>
        <v>0</v>
      </c>
      <c r="L34" s="79">
        <f t="shared" si="13"/>
        <v>0</v>
      </c>
      <c r="M34" s="96">
        <f t="shared" si="13"/>
        <v>-428.223</v>
      </c>
      <c r="N34" s="79">
        <f t="shared" si="13"/>
        <v>0</v>
      </c>
      <c r="O34" s="115">
        <f t="shared" si="13"/>
        <v>0</v>
      </c>
      <c r="P34" s="79">
        <f t="shared" si="13"/>
        <v>0</v>
      </c>
      <c r="Q34" s="79">
        <f t="shared" si="13"/>
        <v>0</v>
      </c>
      <c r="R34" s="79">
        <f t="shared" si="13"/>
        <v>0</v>
      </c>
      <c r="S34" s="79">
        <f t="shared" si="13"/>
        <v>0</v>
      </c>
      <c r="T34" s="79">
        <f t="shared" si="13"/>
        <v>0</v>
      </c>
    </row>
    <row r="35" spans="1:20" ht="76.5" hidden="1">
      <c r="A35" s="17"/>
      <c r="B35" s="17"/>
      <c r="C35" s="66" t="s">
        <v>257</v>
      </c>
      <c r="D35" s="41"/>
      <c r="E35" s="57" t="s">
        <v>259</v>
      </c>
      <c r="F35" s="79">
        <f>F36</f>
        <v>0</v>
      </c>
      <c r="G35" s="79">
        <f aca="true" t="shared" si="14" ref="G35:T35">G36</f>
        <v>0</v>
      </c>
      <c r="H35" s="79">
        <f t="shared" si="14"/>
        <v>428.223</v>
      </c>
      <c r="I35" s="79">
        <f t="shared" si="14"/>
        <v>0</v>
      </c>
      <c r="J35" s="79">
        <f t="shared" si="14"/>
        <v>0</v>
      </c>
      <c r="K35" s="79">
        <f t="shared" si="14"/>
        <v>0</v>
      </c>
      <c r="L35" s="79">
        <f t="shared" si="14"/>
        <v>0</v>
      </c>
      <c r="M35" s="96">
        <f t="shared" si="14"/>
        <v>-428.223</v>
      </c>
      <c r="N35" s="79">
        <f t="shared" si="14"/>
        <v>0</v>
      </c>
      <c r="O35" s="115">
        <f t="shared" si="14"/>
        <v>0</v>
      </c>
      <c r="P35" s="79">
        <f t="shared" si="14"/>
        <v>0</v>
      </c>
      <c r="Q35" s="79">
        <f t="shared" si="14"/>
        <v>0</v>
      </c>
      <c r="R35" s="79">
        <f t="shared" si="14"/>
        <v>0</v>
      </c>
      <c r="S35" s="79">
        <f t="shared" si="14"/>
        <v>0</v>
      </c>
      <c r="T35" s="79">
        <f t="shared" si="14"/>
        <v>0</v>
      </c>
    </row>
    <row r="36" spans="1:20" ht="25.5" hidden="1">
      <c r="A36" s="17"/>
      <c r="B36" s="17"/>
      <c r="C36" s="66"/>
      <c r="D36" s="41" t="s">
        <v>3</v>
      </c>
      <c r="E36" s="67" t="s">
        <v>95</v>
      </c>
      <c r="F36" s="79"/>
      <c r="G36" s="93">
        <f>F36+SUM(H36:T36)</f>
        <v>0</v>
      </c>
      <c r="H36" s="68">
        <v>428.223</v>
      </c>
      <c r="I36" s="68"/>
      <c r="J36" s="69"/>
      <c r="K36" s="69"/>
      <c r="L36" s="68"/>
      <c r="M36" s="70">
        <f>-428.223</f>
        <v>-428.223</v>
      </c>
      <c r="N36" s="68"/>
      <c r="O36" s="51"/>
      <c r="P36" s="68"/>
      <c r="Q36" s="68"/>
      <c r="R36" s="68"/>
      <c r="S36" s="68"/>
      <c r="T36" s="68"/>
    </row>
    <row r="37" spans="1:20" ht="25.5" hidden="1">
      <c r="A37" s="17"/>
      <c r="B37" s="17"/>
      <c r="C37" s="63" t="s">
        <v>425</v>
      </c>
      <c r="D37" s="11"/>
      <c r="E37" s="84" t="s">
        <v>143</v>
      </c>
      <c r="F37" s="95">
        <f>F38</f>
        <v>0</v>
      </c>
      <c r="G37" s="95">
        <f aca="true" t="shared" si="15" ref="G37:T38">G38</f>
        <v>50.3</v>
      </c>
      <c r="H37" s="95">
        <f t="shared" si="15"/>
        <v>0</v>
      </c>
      <c r="I37" s="95">
        <f t="shared" si="15"/>
        <v>0</v>
      </c>
      <c r="J37" s="95">
        <f t="shared" si="15"/>
        <v>50.3</v>
      </c>
      <c r="K37" s="79">
        <f t="shared" si="15"/>
        <v>0</v>
      </c>
      <c r="L37" s="79">
        <f t="shared" si="15"/>
        <v>0</v>
      </c>
      <c r="M37" s="96">
        <f t="shared" si="15"/>
        <v>0</v>
      </c>
      <c r="N37" s="79">
        <f t="shared" si="15"/>
        <v>0</v>
      </c>
      <c r="O37" s="115">
        <f t="shared" si="15"/>
        <v>0</v>
      </c>
      <c r="P37" s="79">
        <f t="shared" si="15"/>
        <v>0</v>
      </c>
      <c r="Q37" s="79">
        <f t="shared" si="15"/>
        <v>0</v>
      </c>
      <c r="R37" s="79">
        <f t="shared" si="15"/>
        <v>0</v>
      </c>
      <c r="S37" s="79">
        <f t="shared" si="15"/>
        <v>0</v>
      </c>
      <c r="T37" s="79">
        <f t="shared" si="15"/>
        <v>0</v>
      </c>
    </row>
    <row r="38" spans="1:20" ht="38.25" hidden="1">
      <c r="A38" s="17"/>
      <c r="B38" s="17"/>
      <c r="C38" s="66" t="s">
        <v>426</v>
      </c>
      <c r="D38" s="41"/>
      <c r="E38" s="57" t="s">
        <v>479</v>
      </c>
      <c r="F38" s="79">
        <f>F39</f>
        <v>0</v>
      </c>
      <c r="G38" s="79">
        <f t="shared" si="15"/>
        <v>50.3</v>
      </c>
      <c r="H38" s="79">
        <f t="shared" si="15"/>
        <v>0</v>
      </c>
      <c r="I38" s="79">
        <f t="shared" si="15"/>
        <v>0</v>
      </c>
      <c r="J38" s="79">
        <f t="shared" si="15"/>
        <v>50.3</v>
      </c>
      <c r="K38" s="79">
        <f t="shared" si="15"/>
        <v>0</v>
      </c>
      <c r="L38" s="79">
        <f t="shared" si="15"/>
        <v>0</v>
      </c>
      <c r="M38" s="96">
        <f t="shared" si="15"/>
        <v>0</v>
      </c>
      <c r="N38" s="79">
        <f t="shared" si="15"/>
        <v>0</v>
      </c>
      <c r="O38" s="115">
        <f t="shared" si="15"/>
        <v>0</v>
      </c>
      <c r="P38" s="79">
        <f t="shared" si="15"/>
        <v>0</v>
      </c>
      <c r="Q38" s="79">
        <f t="shared" si="15"/>
        <v>0</v>
      </c>
      <c r="R38" s="79">
        <f t="shared" si="15"/>
        <v>0</v>
      </c>
      <c r="S38" s="79">
        <f t="shared" si="15"/>
        <v>0</v>
      </c>
      <c r="T38" s="79">
        <f t="shared" si="15"/>
        <v>0</v>
      </c>
    </row>
    <row r="39" spans="1:20" ht="12.75" hidden="1">
      <c r="A39" s="17"/>
      <c r="B39" s="17"/>
      <c r="C39" s="56"/>
      <c r="D39" s="41" t="s">
        <v>4</v>
      </c>
      <c r="E39" s="67" t="s">
        <v>5</v>
      </c>
      <c r="F39" s="79"/>
      <c r="G39" s="93">
        <f>F39+SUM(H39:T39)</f>
        <v>50.3</v>
      </c>
      <c r="H39" s="68"/>
      <c r="I39" s="68"/>
      <c r="J39" s="69">
        <v>50.3</v>
      </c>
      <c r="K39" s="69"/>
      <c r="L39" s="68"/>
      <c r="M39" s="70"/>
      <c r="N39" s="68"/>
      <c r="O39" s="51"/>
      <c r="P39" s="68"/>
      <c r="Q39" s="68"/>
      <c r="R39" s="68"/>
      <c r="S39" s="68"/>
      <c r="T39" s="68"/>
    </row>
    <row r="40" spans="1:20" ht="24">
      <c r="A40" s="5" t="s">
        <v>18</v>
      </c>
      <c r="B40" s="5"/>
      <c r="C40" s="5"/>
      <c r="D40" s="5"/>
      <c r="E40" s="13" t="s">
        <v>32</v>
      </c>
      <c r="F40" s="14">
        <f aca="true" t="shared" si="16" ref="F40:O40">F41+F115+F184+F199+F149+F166</f>
        <v>36566.200000000004</v>
      </c>
      <c r="G40" s="14">
        <f t="shared" si="16"/>
        <v>48164.608759999996</v>
      </c>
      <c r="H40" s="14">
        <f t="shared" si="16"/>
        <v>-438.223</v>
      </c>
      <c r="I40" s="14">
        <f t="shared" si="16"/>
        <v>1396.5259999999998</v>
      </c>
      <c r="J40" s="14">
        <f t="shared" si="16"/>
        <v>9679.52</v>
      </c>
      <c r="K40" s="14">
        <f t="shared" si="16"/>
        <v>135</v>
      </c>
      <c r="L40" s="14">
        <f t="shared" si="16"/>
        <v>96.6</v>
      </c>
      <c r="M40" s="152">
        <f t="shared" si="16"/>
        <v>746.65396</v>
      </c>
      <c r="N40" s="14">
        <f t="shared" si="16"/>
        <v>0</v>
      </c>
      <c r="O40" s="182">
        <f t="shared" si="16"/>
        <v>934.0318</v>
      </c>
      <c r="P40" s="14">
        <f>P41+P115+P184+P199</f>
        <v>-786.2</v>
      </c>
      <c r="Q40" s="14">
        <f>Q41+Q115+Q184+Q199</f>
        <v>0</v>
      </c>
      <c r="R40" s="14">
        <f>R41+R115+R184+R199+R149+R166</f>
        <v>0</v>
      </c>
      <c r="S40" s="14">
        <f>S41+S115+S184+S199+S149+S166</f>
        <v>-165.5</v>
      </c>
      <c r="T40" s="14">
        <f>T41+T115+T184+T199</f>
        <v>0</v>
      </c>
    </row>
    <row r="41" spans="1:20" ht="12">
      <c r="A41" s="5"/>
      <c r="B41" s="5" t="s">
        <v>28</v>
      </c>
      <c r="C41" s="5"/>
      <c r="D41" s="5"/>
      <c r="E41" s="15" t="s">
        <v>29</v>
      </c>
      <c r="F41" s="118">
        <f>F42+F46+F72+F68</f>
        <v>24665.1</v>
      </c>
      <c r="G41" s="118">
        <f aca="true" t="shared" si="17" ref="G41:T41">G42+G46+G72+G68</f>
        <v>35915.7578</v>
      </c>
      <c r="H41" s="118">
        <f t="shared" si="17"/>
        <v>-438.223</v>
      </c>
      <c r="I41" s="118">
        <f t="shared" si="17"/>
        <v>1364.926</v>
      </c>
      <c r="J41" s="118">
        <f t="shared" si="17"/>
        <v>9886.82</v>
      </c>
      <c r="K41" s="118">
        <f t="shared" si="17"/>
        <v>135</v>
      </c>
      <c r="L41" s="118">
        <f t="shared" si="17"/>
        <v>33.8</v>
      </c>
      <c r="M41" s="118">
        <f t="shared" si="17"/>
        <v>51.74900000000001</v>
      </c>
      <c r="N41" s="118">
        <f t="shared" si="17"/>
        <v>0</v>
      </c>
      <c r="O41" s="183">
        <f t="shared" si="17"/>
        <v>310.0858</v>
      </c>
      <c r="P41" s="118">
        <f t="shared" si="17"/>
        <v>-24</v>
      </c>
      <c r="Q41" s="118">
        <f t="shared" si="17"/>
        <v>0</v>
      </c>
      <c r="R41" s="118">
        <f>R42+R46+R72+R68</f>
        <v>0</v>
      </c>
      <c r="S41" s="118">
        <f>S42+S46+S72+S68</f>
        <v>-69.5</v>
      </c>
      <c r="T41" s="118">
        <f t="shared" si="17"/>
        <v>0</v>
      </c>
    </row>
    <row r="42" spans="1:20" ht="36" hidden="1">
      <c r="A42" s="5"/>
      <c r="B42" s="5" t="s">
        <v>33</v>
      </c>
      <c r="C42" s="16"/>
      <c r="D42" s="5"/>
      <c r="E42" s="13" t="s">
        <v>34</v>
      </c>
      <c r="F42" s="118">
        <f>F43</f>
        <v>1305.3</v>
      </c>
      <c r="G42" s="118">
        <f aca="true" t="shared" si="18" ref="G42:T42">G43</f>
        <v>1351.6</v>
      </c>
      <c r="H42" s="14">
        <f t="shared" si="18"/>
        <v>0</v>
      </c>
      <c r="I42" s="14">
        <f t="shared" si="18"/>
        <v>0</v>
      </c>
      <c r="J42" s="14">
        <f t="shared" si="18"/>
        <v>46.3</v>
      </c>
      <c r="K42" s="14">
        <f t="shared" si="18"/>
        <v>0</v>
      </c>
      <c r="L42" s="14">
        <f t="shared" si="18"/>
        <v>0</v>
      </c>
      <c r="M42" s="152">
        <f t="shared" si="18"/>
        <v>0</v>
      </c>
      <c r="N42" s="14">
        <f t="shared" si="18"/>
        <v>0</v>
      </c>
      <c r="O42" s="182">
        <f t="shared" si="18"/>
        <v>0</v>
      </c>
      <c r="P42" s="14">
        <f t="shared" si="18"/>
        <v>0</v>
      </c>
      <c r="Q42" s="14">
        <f t="shared" si="18"/>
        <v>0</v>
      </c>
      <c r="R42" s="14">
        <f t="shared" si="18"/>
        <v>0</v>
      </c>
      <c r="S42" s="14">
        <f t="shared" si="18"/>
        <v>0</v>
      </c>
      <c r="T42" s="14">
        <f t="shared" si="18"/>
        <v>0</v>
      </c>
    </row>
    <row r="43" spans="1:20" ht="25.5" hidden="1">
      <c r="A43" s="17"/>
      <c r="B43" s="17"/>
      <c r="C43" s="63" t="s">
        <v>419</v>
      </c>
      <c r="D43" s="11"/>
      <c r="E43" s="84" t="s">
        <v>154</v>
      </c>
      <c r="F43" s="95">
        <f>F44</f>
        <v>1305.3</v>
      </c>
      <c r="G43" s="95">
        <f aca="true" t="shared" si="19" ref="G43:T43">G44</f>
        <v>1351.6</v>
      </c>
      <c r="H43" s="73">
        <f t="shared" si="19"/>
        <v>0</v>
      </c>
      <c r="I43" s="73">
        <f t="shared" si="19"/>
        <v>0</v>
      </c>
      <c r="J43" s="73">
        <f t="shared" si="19"/>
        <v>46.3</v>
      </c>
      <c r="K43" s="73">
        <f t="shared" si="19"/>
        <v>0</v>
      </c>
      <c r="L43" s="73">
        <f t="shared" si="19"/>
        <v>0</v>
      </c>
      <c r="M43" s="77">
        <f t="shared" si="19"/>
        <v>0</v>
      </c>
      <c r="N43" s="73">
        <f t="shared" si="19"/>
        <v>0</v>
      </c>
      <c r="O43" s="50">
        <f t="shared" si="19"/>
        <v>0</v>
      </c>
      <c r="P43" s="73">
        <f t="shared" si="19"/>
        <v>0</v>
      </c>
      <c r="Q43" s="73">
        <f t="shared" si="19"/>
        <v>0</v>
      </c>
      <c r="R43" s="73">
        <f t="shared" si="19"/>
        <v>0</v>
      </c>
      <c r="S43" s="73">
        <f t="shared" si="19"/>
        <v>0</v>
      </c>
      <c r="T43" s="73">
        <f t="shared" si="19"/>
        <v>0</v>
      </c>
    </row>
    <row r="44" spans="1:20" ht="12.75" hidden="1">
      <c r="A44" s="17"/>
      <c r="B44" s="17"/>
      <c r="C44" s="66" t="s">
        <v>422</v>
      </c>
      <c r="D44" s="41"/>
      <c r="E44" s="57" t="s">
        <v>93</v>
      </c>
      <c r="F44" s="79">
        <f>F45</f>
        <v>1305.3</v>
      </c>
      <c r="G44" s="79">
        <f aca="true" t="shared" si="20" ref="G44:T44">G45</f>
        <v>1351.6</v>
      </c>
      <c r="H44" s="68">
        <f t="shared" si="20"/>
        <v>0</v>
      </c>
      <c r="I44" s="68">
        <f t="shared" si="20"/>
        <v>0</v>
      </c>
      <c r="J44" s="68">
        <f t="shared" si="20"/>
        <v>46.3</v>
      </c>
      <c r="K44" s="68">
        <f t="shared" si="20"/>
        <v>0</v>
      </c>
      <c r="L44" s="68">
        <f t="shared" si="20"/>
        <v>0</v>
      </c>
      <c r="M44" s="70">
        <f t="shared" si="20"/>
        <v>0</v>
      </c>
      <c r="N44" s="68">
        <f t="shared" si="20"/>
        <v>0</v>
      </c>
      <c r="O44" s="51">
        <f t="shared" si="20"/>
        <v>0</v>
      </c>
      <c r="P44" s="68">
        <f t="shared" si="20"/>
        <v>0</v>
      </c>
      <c r="Q44" s="68">
        <f t="shared" si="20"/>
        <v>0</v>
      </c>
      <c r="R44" s="68">
        <f t="shared" si="20"/>
        <v>0</v>
      </c>
      <c r="S44" s="68">
        <f t="shared" si="20"/>
        <v>0</v>
      </c>
      <c r="T44" s="68">
        <f t="shared" si="20"/>
        <v>0</v>
      </c>
    </row>
    <row r="45" spans="1:20" ht="61.5" customHeight="1" hidden="1">
      <c r="A45" s="17"/>
      <c r="B45" s="17"/>
      <c r="C45" s="66"/>
      <c r="D45" s="41" t="s">
        <v>2</v>
      </c>
      <c r="E45" s="67" t="s">
        <v>94</v>
      </c>
      <c r="F45" s="79">
        <v>1305.3</v>
      </c>
      <c r="G45" s="93">
        <f>F45+SUM(H45:T45)</f>
        <v>1351.6</v>
      </c>
      <c r="H45" s="68"/>
      <c r="I45" s="68"/>
      <c r="J45" s="68">
        <v>46.3</v>
      </c>
      <c r="K45" s="68"/>
      <c r="L45" s="68"/>
      <c r="M45" s="70"/>
      <c r="N45" s="68"/>
      <c r="O45" s="51"/>
      <c r="P45" s="68"/>
      <c r="Q45" s="68"/>
      <c r="R45" s="68"/>
      <c r="S45" s="68"/>
      <c r="T45" s="68"/>
    </row>
    <row r="46" spans="1:20" ht="48" hidden="1">
      <c r="A46" s="17"/>
      <c r="B46" s="5" t="s">
        <v>35</v>
      </c>
      <c r="C46" s="18"/>
      <c r="D46" s="17"/>
      <c r="E46" s="13" t="s">
        <v>36</v>
      </c>
      <c r="F46" s="119">
        <f>F47+F51+F62+F65</f>
        <v>17620</v>
      </c>
      <c r="G46" s="119">
        <f>G47+G51+G62+G65</f>
        <v>19828.577999999998</v>
      </c>
      <c r="H46" s="119">
        <f>H47+H51+H62+H65</f>
        <v>-17.64</v>
      </c>
      <c r="I46" s="119">
        <f>I47+I51+I62+I65</f>
        <v>148.038</v>
      </c>
      <c r="J46" s="119">
        <f>J47+J51+J62+J65</f>
        <v>1868.68</v>
      </c>
      <c r="K46" s="119">
        <f aca="true" t="shared" si="21" ref="K46:T46">K47+K51+K62</f>
        <v>135</v>
      </c>
      <c r="L46" s="119">
        <f t="shared" si="21"/>
        <v>0</v>
      </c>
      <c r="M46" s="121">
        <f t="shared" si="21"/>
        <v>-25.5</v>
      </c>
      <c r="N46" s="119">
        <f t="shared" si="21"/>
        <v>0</v>
      </c>
      <c r="O46" s="185">
        <f t="shared" si="21"/>
        <v>100</v>
      </c>
      <c r="P46" s="119">
        <f t="shared" si="21"/>
        <v>0</v>
      </c>
      <c r="Q46" s="119">
        <f t="shared" si="21"/>
        <v>0</v>
      </c>
      <c r="R46" s="119">
        <f>R47+R51+R62</f>
        <v>0</v>
      </c>
      <c r="S46" s="119">
        <f>S47+S51+S62</f>
        <v>0</v>
      </c>
      <c r="T46" s="119">
        <f t="shared" si="21"/>
        <v>0</v>
      </c>
    </row>
    <row r="47" spans="1:20" ht="38.25" hidden="1">
      <c r="A47" s="17"/>
      <c r="B47" s="5"/>
      <c r="C47" s="63" t="s">
        <v>260</v>
      </c>
      <c r="D47" s="11"/>
      <c r="E47" s="60" t="s">
        <v>443</v>
      </c>
      <c r="F47" s="95">
        <f>F48</f>
        <v>21</v>
      </c>
      <c r="G47" s="95">
        <f aca="true" t="shared" si="22" ref="G47:T49">G48</f>
        <v>21</v>
      </c>
      <c r="H47" s="73">
        <f t="shared" si="22"/>
        <v>0</v>
      </c>
      <c r="I47" s="73">
        <f t="shared" si="22"/>
        <v>0</v>
      </c>
      <c r="J47" s="73">
        <f t="shared" si="22"/>
        <v>0</v>
      </c>
      <c r="K47" s="73">
        <f t="shared" si="22"/>
        <v>0</v>
      </c>
      <c r="L47" s="73">
        <f t="shared" si="22"/>
        <v>0</v>
      </c>
      <c r="M47" s="77">
        <f t="shared" si="22"/>
        <v>0</v>
      </c>
      <c r="N47" s="73">
        <f t="shared" si="22"/>
        <v>0</v>
      </c>
      <c r="O47" s="50">
        <f t="shared" si="22"/>
        <v>0</v>
      </c>
      <c r="P47" s="73">
        <f t="shared" si="22"/>
        <v>0</v>
      </c>
      <c r="Q47" s="73">
        <f t="shared" si="22"/>
        <v>0</v>
      </c>
      <c r="R47" s="73">
        <f t="shared" si="22"/>
        <v>0</v>
      </c>
      <c r="S47" s="73">
        <f t="shared" si="22"/>
        <v>0</v>
      </c>
      <c r="T47" s="73">
        <f t="shared" si="22"/>
        <v>0</v>
      </c>
    </row>
    <row r="48" spans="1:20" ht="38.25" hidden="1">
      <c r="A48" s="17"/>
      <c r="B48" s="5"/>
      <c r="C48" s="82" t="s">
        <v>261</v>
      </c>
      <c r="D48" s="99"/>
      <c r="E48" s="61" t="s">
        <v>263</v>
      </c>
      <c r="F48" s="79">
        <f>F49</f>
        <v>21</v>
      </c>
      <c r="G48" s="79">
        <f t="shared" si="22"/>
        <v>21</v>
      </c>
      <c r="H48" s="68">
        <f t="shared" si="22"/>
        <v>0</v>
      </c>
      <c r="I48" s="68">
        <f t="shared" si="22"/>
        <v>0</v>
      </c>
      <c r="J48" s="68">
        <f t="shared" si="22"/>
        <v>0</v>
      </c>
      <c r="K48" s="68">
        <f t="shared" si="22"/>
        <v>0</v>
      </c>
      <c r="L48" s="68">
        <f t="shared" si="22"/>
        <v>0</v>
      </c>
      <c r="M48" s="70">
        <f t="shared" si="22"/>
        <v>0</v>
      </c>
      <c r="N48" s="68">
        <f t="shared" si="22"/>
        <v>0</v>
      </c>
      <c r="O48" s="51">
        <f t="shared" si="22"/>
        <v>0</v>
      </c>
      <c r="P48" s="68">
        <f t="shared" si="22"/>
        <v>0</v>
      </c>
      <c r="Q48" s="68">
        <f t="shared" si="22"/>
        <v>0</v>
      </c>
      <c r="R48" s="68">
        <f t="shared" si="22"/>
        <v>0</v>
      </c>
      <c r="S48" s="68">
        <f t="shared" si="22"/>
        <v>0</v>
      </c>
      <c r="T48" s="68">
        <f t="shared" si="22"/>
        <v>0</v>
      </c>
    </row>
    <row r="49" spans="1:20" ht="25.5" hidden="1">
      <c r="A49" s="17"/>
      <c r="B49" s="5"/>
      <c r="C49" s="66" t="s">
        <v>262</v>
      </c>
      <c r="D49" s="41"/>
      <c r="E49" s="57" t="s">
        <v>264</v>
      </c>
      <c r="F49" s="79">
        <f>F50</f>
        <v>21</v>
      </c>
      <c r="G49" s="79">
        <f t="shared" si="22"/>
        <v>21</v>
      </c>
      <c r="H49" s="68">
        <f t="shared" si="22"/>
        <v>0</v>
      </c>
      <c r="I49" s="68">
        <f t="shared" si="22"/>
        <v>0</v>
      </c>
      <c r="J49" s="68">
        <f t="shared" si="22"/>
        <v>0</v>
      </c>
      <c r="K49" s="68">
        <f t="shared" si="22"/>
        <v>0</v>
      </c>
      <c r="L49" s="68">
        <f t="shared" si="22"/>
        <v>0</v>
      </c>
      <c r="M49" s="70">
        <f t="shared" si="22"/>
        <v>0</v>
      </c>
      <c r="N49" s="68">
        <f t="shared" si="22"/>
        <v>0</v>
      </c>
      <c r="O49" s="51">
        <f t="shared" si="22"/>
        <v>0</v>
      </c>
      <c r="P49" s="68">
        <f t="shared" si="22"/>
        <v>0</v>
      </c>
      <c r="Q49" s="68">
        <f t="shared" si="22"/>
        <v>0</v>
      </c>
      <c r="R49" s="68">
        <f t="shared" si="22"/>
        <v>0</v>
      </c>
      <c r="S49" s="68">
        <f t="shared" si="22"/>
        <v>0</v>
      </c>
      <c r="T49" s="68">
        <f t="shared" si="22"/>
        <v>0</v>
      </c>
    </row>
    <row r="50" spans="1:20" ht="25.5" hidden="1">
      <c r="A50" s="17"/>
      <c r="B50" s="5"/>
      <c r="C50" s="66"/>
      <c r="D50" s="41" t="s">
        <v>3</v>
      </c>
      <c r="E50" s="67" t="s">
        <v>95</v>
      </c>
      <c r="F50" s="79">
        <v>21</v>
      </c>
      <c r="G50" s="93">
        <f>F50+SUM(H50:T50)</f>
        <v>21</v>
      </c>
      <c r="H50" s="68"/>
      <c r="I50" s="68"/>
      <c r="J50" s="69"/>
      <c r="K50" s="69"/>
      <c r="L50" s="68"/>
      <c r="M50" s="70"/>
      <c r="N50" s="68"/>
      <c r="O50" s="51"/>
      <c r="P50" s="68"/>
      <c r="Q50" s="68"/>
      <c r="R50" s="68"/>
      <c r="S50" s="68"/>
      <c r="T50" s="68"/>
    </row>
    <row r="51" spans="1:20" ht="48.75" customHeight="1" hidden="1">
      <c r="A51" s="5"/>
      <c r="B51" s="5"/>
      <c r="C51" s="63" t="s">
        <v>419</v>
      </c>
      <c r="D51" s="11"/>
      <c r="E51" s="84" t="s">
        <v>154</v>
      </c>
      <c r="F51" s="95">
        <f>F52+F56+F60+F58</f>
        <v>17599</v>
      </c>
      <c r="G51" s="95">
        <f aca="true" t="shared" si="23" ref="G51:O51">G52+G56+G60+G58</f>
        <v>19580.278</v>
      </c>
      <c r="H51" s="95">
        <f t="shared" si="23"/>
        <v>-17.64</v>
      </c>
      <c r="I51" s="95">
        <f t="shared" si="23"/>
        <v>148.038</v>
      </c>
      <c r="J51" s="95">
        <f t="shared" si="23"/>
        <v>1641.38</v>
      </c>
      <c r="K51" s="95">
        <f t="shared" si="23"/>
        <v>135</v>
      </c>
      <c r="L51" s="95">
        <f t="shared" si="23"/>
        <v>0</v>
      </c>
      <c r="M51" s="131">
        <f t="shared" si="23"/>
        <v>-25.5</v>
      </c>
      <c r="N51" s="95">
        <f t="shared" si="23"/>
        <v>0</v>
      </c>
      <c r="O51" s="184">
        <f t="shared" si="23"/>
        <v>100</v>
      </c>
      <c r="P51" s="95">
        <f>P52+P56+P60</f>
        <v>0</v>
      </c>
      <c r="Q51" s="95">
        <f>Q52+Q56+Q60</f>
        <v>0</v>
      </c>
      <c r="R51" s="95">
        <f>R52+R56+R60+R58</f>
        <v>0</v>
      </c>
      <c r="S51" s="95">
        <f>S52+S56+S60+S58</f>
        <v>0</v>
      </c>
      <c r="T51" s="95">
        <f>T52+T56+T60</f>
        <v>0</v>
      </c>
    </row>
    <row r="52" spans="1:20" ht="25.5" hidden="1">
      <c r="A52" s="17"/>
      <c r="B52" s="17"/>
      <c r="C52" s="66" t="s">
        <v>421</v>
      </c>
      <c r="D52" s="41"/>
      <c r="E52" s="83" t="s">
        <v>166</v>
      </c>
      <c r="F52" s="79">
        <f>F53+F54+F55</f>
        <v>17599</v>
      </c>
      <c r="G52" s="79">
        <f aca="true" t="shared" si="24" ref="G52:T52">G53+G54+G55</f>
        <v>19432.239999999998</v>
      </c>
      <c r="H52" s="68">
        <f t="shared" si="24"/>
        <v>-17.64</v>
      </c>
      <c r="I52" s="68">
        <f t="shared" si="24"/>
        <v>0</v>
      </c>
      <c r="J52" s="68">
        <f t="shared" si="24"/>
        <v>1641.38</v>
      </c>
      <c r="K52" s="68">
        <f t="shared" si="24"/>
        <v>135</v>
      </c>
      <c r="L52" s="68">
        <f t="shared" si="24"/>
        <v>0</v>
      </c>
      <c r="M52" s="70">
        <f t="shared" si="24"/>
        <v>-25.5</v>
      </c>
      <c r="N52" s="68">
        <f t="shared" si="24"/>
        <v>0</v>
      </c>
      <c r="O52" s="51">
        <f t="shared" si="24"/>
        <v>100</v>
      </c>
      <c r="P52" s="68">
        <f t="shared" si="24"/>
        <v>0</v>
      </c>
      <c r="Q52" s="68">
        <f t="shared" si="24"/>
        <v>0</v>
      </c>
      <c r="R52" s="68">
        <f>R53+R54+R55</f>
        <v>0</v>
      </c>
      <c r="S52" s="68">
        <f>S53+S54+S55</f>
        <v>0</v>
      </c>
      <c r="T52" s="68">
        <f t="shared" si="24"/>
        <v>0</v>
      </c>
    </row>
    <row r="53" spans="1:20" ht="58.5" customHeight="1" hidden="1">
      <c r="A53" s="17"/>
      <c r="B53" s="17"/>
      <c r="C53" s="66"/>
      <c r="D53" s="41" t="s">
        <v>2</v>
      </c>
      <c r="E53" s="67" t="s">
        <v>94</v>
      </c>
      <c r="F53" s="79">
        <v>14797.1</v>
      </c>
      <c r="G53" s="93">
        <f>F53+SUM(H53:T53)</f>
        <v>16423.48</v>
      </c>
      <c r="H53" s="68"/>
      <c r="I53" s="68"/>
      <c r="J53" s="68">
        <v>1626.38</v>
      </c>
      <c r="K53" s="68"/>
      <c r="L53" s="68"/>
      <c r="M53" s="70"/>
      <c r="N53" s="68"/>
      <c r="O53" s="51"/>
      <c r="P53" s="68"/>
      <c r="Q53" s="68"/>
      <c r="R53" s="68"/>
      <c r="S53" s="68"/>
      <c r="T53" s="68"/>
    </row>
    <row r="54" spans="1:20" ht="25.5" hidden="1">
      <c r="A54" s="17"/>
      <c r="B54" s="5"/>
      <c r="C54" s="66"/>
      <c r="D54" s="41" t="s">
        <v>3</v>
      </c>
      <c r="E54" s="67" t="s">
        <v>95</v>
      </c>
      <c r="F54" s="79">
        <v>2784.3</v>
      </c>
      <c r="G54" s="93">
        <f>F54+SUM(H54:T54)</f>
        <v>2658.6600000000003</v>
      </c>
      <c r="H54" s="68">
        <v>-17.64</v>
      </c>
      <c r="I54" s="68"/>
      <c r="J54" s="69">
        <v>-60</v>
      </c>
      <c r="K54" s="69">
        <v>60</v>
      </c>
      <c r="L54" s="68">
        <v>-22.5</v>
      </c>
      <c r="M54" s="70">
        <f>4.5-40</f>
        <v>-35.5</v>
      </c>
      <c r="N54" s="68"/>
      <c r="O54" s="51"/>
      <c r="P54" s="68"/>
      <c r="Q54" s="68"/>
      <c r="R54" s="68">
        <v>-50</v>
      </c>
      <c r="S54" s="68"/>
      <c r="T54" s="68"/>
    </row>
    <row r="55" spans="1:20" ht="12.75" hidden="1">
      <c r="A55" s="17"/>
      <c r="B55" s="5"/>
      <c r="C55" s="66"/>
      <c r="D55" s="41" t="s">
        <v>4</v>
      </c>
      <c r="E55" s="67" t="s">
        <v>5</v>
      </c>
      <c r="F55" s="79">
        <v>17.6</v>
      </c>
      <c r="G55" s="93">
        <f>F55+SUM(H55:T55)</f>
        <v>350.1</v>
      </c>
      <c r="H55" s="68"/>
      <c r="I55" s="68"/>
      <c r="J55" s="69">
        <v>75</v>
      </c>
      <c r="K55" s="69">
        <v>75</v>
      </c>
      <c r="L55" s="68">
        <v>22.5</v>
      </c>
      <c r="M55" s="70">
        <f>10</f>
        <v>10</v>
      </c>
      <c r="N55" s="68"/>
      <c r="O55" s="51">
        <v>100</v>
      </c>
      <c r="P55" s="68"/>
      <c r="Q55" s="68"/>
      <c r="R55" s="68">
        <v>50</v>
      </c>
      <c r="S55" s="68"/>
      <c r="T55" s="68"/>
    </row>
    <row r="56" spans="1:20" ht="25.5" hidden="1">
      <c r="A56" s="17"/>
      <c r="B56" s="5"/>
      <c r="C56" s="66" t="s">
        <v>445</v>
      </c>
      <c r="D56" s="41"/>
      <c r="E56" s="67" t="s">
        <v>447</v>
      </c>
      <c r="F56" s="79">
        <f>F57</f>
        <v>0</v>
      </c>
      <c r="G56" s="79">
        <f aca="true" t="shared" si="25" ref="G56:T56">G57</f>
        <v>25.9</v>
      </c>
      <c r="H56" s="79">
        <f t="shared" si="25"/>
        <v>0</v>
      </c>
      <c r="I56" s="79">
        <f t="shared" si="25"/>
        <v>25.9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96">
        <f t="shared" si="25"/>
        <v>0</v>
      </c>
      <c r="N56" s="79">
        <f t="shared" si="25"/>
        <v>0</v>
      </c>
      <c r="O56" s="115">
        <f t="shared" si="25"/>
        <v>0</v>
      </c>
      <c r="P56" s="79">
        <f t="shared" si="25"/>
        <v>0</v>
      </c>
      <c r="Q56" s="79">
        <f t="shared" si="25"/>
        <v>0</v>
      </c>
      <c r="R56" s="79">
        <f t="shared" si="25"/>
        <v>0</v>
      </c>
      <c r="S56" s="79">
        <f t="shared" si="25"/>
        <v>0</v>
      </c>
      <c r="T56" s="79">
        <f t="shared" si="25"/>
        <v>0</v>
      </c>
    </row>
    <row r="57" spans="1:20" ht="25.5" hidden="1">
      <c r="A57" s="17"/>
      <c r="B57" s="5"/>
      <c r="C57" s="66"/>
      <c r="D57" s="41" t="s">
        <v>3</v>
      </c>
      <c r="E57" s="67" t="s">
        <v>95</v>
      </c>
      <c r="F57" s="79"/>
      <c r="G57" s="93">
        <f>F57+SUM(H57:T57)</f>
        <v>25.9</v>
      </c>
      <c r="H57" s="68"/>
      <c r="I57" s="68">
        <v>25.9</v>
      </c>
      <c r="J57" s="69"/>
      <c r="K57" s="69"/>
      <c r="L57" s="68"/>
      <c r="M57" s="70"/>
      <c r="N57" s="68"/>
      <c r="O57" s="51"/>
      <c r="P57" s="68"/>
      <c r="Q57" s="68"/>
      <c r="R57" s="68"/>
      <c r="S57" s="68"/>
      <c r="T57" s="68"/>
    </row>
    <row r="58" spans="1:20" ht="24.75" customHeight="1" hidden="1">
      <c r="A58" s="17"/>
      <c r="B58" s="5"/>
      <c r="C58" s="66" t="s">
        <v>465</v>
      </c>
      <c r="D58" s="41"/>
      <c r="E58" s="67" t="s">
        <v>466</v>
      </c>
      <c r="F58" s="79">
        <f>F59</f>
        <v>0</v>
      </c>
      <c r="G58" s="79">
        <f aca="true" t="shared" si="26" ref="G58:L58">G59</f>
        <v>122.138</v>
      </c>
      <c r="H58" s="79">
        <f t="shared" si="26"/>
        <v>0</v>
      </c>
      <c r="I58" s="79">
        <f t="shared" si="26"/>
        <v>122.138</v>
      </c>
      <c r="J58" s="79">
        <f t="shared" si="26"/>
        <v>0</v>
      </c>
      <c r="K58" s="79">
        <f t="shared" si="26"/>
        <v>0</v>
      </c>
      <c r="L58" s="79">
        <f t="shared" si="26"/>
        <v>0</v>
      </c>
      <c r="M58" s="70"/>
      <c r="N58" s="68"/>
      <c r="O58" s="51"/>
      <c r="P58" s="68"/>
      <c r="Q58" s="68"/>
      <c r="R58" s="68"/>
      <c r="S58" s="68"/>
      <c r="T58" s="68"/>
    </row>
    <row r="59" spans="1:20" ht="51" hidden="1">
      <c r="A59" s="17"/>
      <c r="B59" s="5"/>
      <c r="C59" s="66"/>
      <c r="D59" s="41" t="s">
        <v>2</v>
      </c>
      <c r="E59" s="67" t="s">
        <v>94</v>
      </c>
      <c r="F59" s="79"/>
      <c r="G59" s="93">
        <f>F59+SUM(H59:T59)</f>
        <v>122.138</v>
      </c>
      <c r="H59" s="68"/>
      <c r="I59" s="68">
        <v>122.138</v>
      </c>
      <c r="J59" s="69"/>
      <c r="K59" s="69"/>
      <c r="L59" s="68"/>
      <c r="M59" s="70"/>
      <c r="N59" s="68"/>
      <c r="O59" s="51"/>
      <c r="P59" s="68"/>
      <c r="Q59" s="68"/>
      <c r="R59" s="68"/>
      <c r="S59" s="68"/>
      <c r="T59" s="68"/>
    </row>
    <row r="60" spans="1:20" ht="76.5" hidden="1">
      <c r="A60" s="17"/>
      <c r="B60" s="5"/>
      <c r="C60" s="66" t="s">
        <v>446</v>
      </c>
      <c r="D60" s="41"/>
      <c r="E60" s="67" t="s">
        <v>448</v>
      </c>
      <c r="F60" s="79">
        <f>F61</f>
        <v>0</v>
      </c>
      <c r="G60" s="79">
        <f aca="true" t="shared" si="27" ref="G60:T60">G61</f>
        <v>0</v>
      </c>
      <c r="H60" s="79">
        <f t="shared" si="27"/>
        <v>0</v>
      </c>
      <c r="I60" s="79">
        <f t="shared" si="27"/>
        <v>0</v>
      </c>
      <c r="J60" s="79">
        <f t="shared" si="27"/>
        <v>0</v>
      </c>
      <c r="K60" s="79">
        <f t="shared" si="27"/>
        <v>0</v>
      </c>
      <c r="L60" s="79">
        <f t="shared" si="27"/>
        <v>0</v>
      </c>
      <c r="M60" s="96">
        <f t="shared" si="27"/>
        <v>0</v>
      </c>
      <c r="N60" s="79">
        <f t="shared" si="27"/>
        <v>0</v>
      </c>
      <c r="O60" s="115">
        <f t="shared" si="27"/>
        <v>0</v>
      </c>
      <c r="P60" s="79">
        <f t="shared" si="27"/>
        <v>0</v>
      </c>
      <c r="Q60" s="79">
        <f t="shared" si="27"/>
        <v>0</v>
      </c>
      <c r="R60" s="79">
        <f t="shared" si="27"/>
        <v>0</v>
      </c>
      <c r="S60" s="79">
        <f t="shared" si="27"/>
        <v>0</v>
      </c>
      <c r="T60" s="79">
        <f t="shared" si="27"/>
        <v>0</v>
      </c>
    </row>
    <row r="61" spans="1:20" ht="51" hidden="1">
      <c r="A61" s="17"/>
      <c r="B61" s="5"/>
      <c r="C61" s="66"/>
      <c r="D61" s="41" t="s">
        <v>2</v>
      </c>
      <c r="E61" s="67" t="s">
        <v>94</v>
      </c>
      <c r="F61" s="79"/>
      <c r="G61" s="93">
        <f>F61+SUM(H61:T61)</f>
        <v>0</v>
      </c>
      <c r="H61" s="68"/>
      <c r="I61" s="68"/>
      <c r="J61" s="69"/>
      <c r="K61" s="69"/>
      <c r="L61" s="68"/>
      <c r="M61" s="70"/>
      <c r="N61" s="68"/>
      <c r="O61" s="51"/>
      <c r="P61" s="68"/>
      <c r="Q61" s="68"/>
      <c r="R61" s="68"/>
      <c r="S61" s="68"/>
      <c r="T61" s="68"/>
    </row>
    <row r="62" spans="1:20" ht="63.75" hidden="1">
      <c r="A62" s="17"/>
      <c r="B62" s="5"/>
      <c r="C62" s="63" t="s">
        <v>488</v>
      </c>
      <c r="D62" s="41"/>
      <c r="E62" s="135" t="s">
        <v>490</v>
      </c>
      <c r="F62" s="95">
        <f>F63</f>
        <v>0</v>
      </c>
      <c r="G62" s="95">
        <f aca="true" t="shared" si="28" ref="G62:T63">G63</f>
        <v>207.3</v>
      </c>
      <c r="H62" s="95">
        <f t="shared" si="28"/>
        <v>0</v>
      </c>
      <c r="I62" s="95">
        <f t="shared" si="28"/>
        <v>0</v>
      </c>
      <c r="J62" s="95">
        <f t="shared" si="28"/>
        <v>207.3</v>
      </c>
      <c r="K62" s="79">
        <f t="shared" si="28"/>
        <v>0</v>
      </c>
      <c r="L62" s="79">
        <f t="shared" si="28"/>
        <v>0</v>
      </c>
      <c r="M62" s="96">
        <f t="shared" si="28"/>
        <v>0</v>
      </c>
      <c r="N62" s="79">
        <f t="shared" si="28"/>
        <v>0</v>
      </c>
      <c r="O62" s="115">
        <f t="shared" si="28"/>
        <v>0</v>
      </c>
      <c r="P62" s="79">
        <f t="shared" si="28"/>
        <v>0</v>
      </c>
      <c r="Q62" s="79">
        <f t="shared" si="28"/>
        <v>0</v>
      </c>
      <c r="R62" s="79">
        <f t="shared" si="28"/>
        <v>0</v>
      </c>
      <c r="S62" s="79">
        <f t="shared" si="28"/>
        <v>0</v>
      </c>
      <c r="T62" s="79">
        <f t="shared" si="28"/>
        <v>0</v>
      </c>
    </row>
    <row r="63" spans="1:20" ht="51" hidden="1">
      <c r="A63" s="17"/>
      <c r="B63" s="5"/>
      <c r="C63" s="66" t="s">
        <v>489</v>
      </c>
      <c r="D63" s="41"/>
      <c r="E63" s="134" t="s">
        <v>491</v>
      </c>
      <c r="F63" s="79">
        <f>F64</f>
        <v>0</v>
      </c>
      <c r="G63" s="79">
        <f t="shared" si="28"/>
        <v>207.3</v>
      </c>
      <c r="H63" s="79">
        <f t="shared" si="28"/>
        <v>0</v>
      </c>
      <c r="I63" s="79">
        <f t="shared" si="28"/>
        <v>0</v>
      </c>
      <c r="J63" s="79">
        <f t="shared" si="28"/>
        <v>207.3</v>
      </c>
      <c r="K63" s="79">
        <f t="shared" si="28"/>
        <v>0</v>
      </c>
      <c r="L63" s="79">
        <f t="shared" si="28"/>
        <v>0</v>
      </c>
      <c r="M63" s="96">
        <f t="shared" si="28"/>
        <v>0</v>
      </c>
      <c r="N63" s="79">
        <f t="shared" si="28"/>
        <v>0</v>
      </c>
      <c r="O63" s="115">
        <f t="shared" si="28"/>
        <v>0</v>
      </c>
      <c r="P63" s="79">
        <f t="shared" si="28"/>
        <v>0</v>
      </c>
      <c r="Q63" s="79">
        <f t="shared" si="28"/>
        <v>0</v>
      </c>
      <c r="R63" s="79">
        <f t="shared" si="28"/>
        <v>0</v>
      </c>
      <c r="S63" s="79">
        <f t="shared" si="28"/>
        <v>0</v>
      </c>
      <c r="T63" s="79">
        <f t="shared" si="28"/>
        <v>0</v>
      </c>
    </row>
    <row r="64" spans="1:20" ht="12.75" hidden="1">
      <c r="A64" s="17"/>
      <c r="B64" s="5"/>
      <c r="C64" s="66"/>
      <c r="D64" s="41" t="s">
        <v>9</v>
      </c>
      <c r="E64" s="67" t="s">
        <v>37</v>
      </c>
      <c r="F64" s="79"/>
      <c r="G64" s="93">
        <f>F64+SUM(H64:T64)</f>
        <v>207.3</v>
      </c>
      <c r="H64" s="68"/>
      <c r="I64" s="68"/>
      <c r="J64" s="69">
        <v>207.3</v>
      </c>
      <c r="K64" s="69"/>
      <c r="L64" s="68"/>
      <c r="M64" s="70"/>
      <c r="N64" s="68"/>
      <c r="O64" s="51"/>
      <c r="P64" s="68"/>
      <c r="Q64" s="68"/>
      <c r="R64" s="68"/>
      <c r="S64" s="68"/>
      <c r="T64" s="68"/>
    </row>
    <row r="65" spans="1:20" ht="76.5" hidden="1">
      <c r="A65" s="17"/>
      <c r="B65" s="5"/>
      <c r="C65" s="63" t="s">
        <v>527</v>
      </c>
      <c r="D65" s="41"/>
      <c r="E65" s="135" t="s">
        <v>526</v>
      </c>
      <c r="F65" s="95">
        <f>F66</f>
        <v>0</v>
      </c>
      <c r="G65" s="95">
        <f aca="true" t="shared" si="29" ref="G65:T66">G66</f>
        <v>20</v>
      </c>
      <c r="H65" s="95">
        <f t="shared" si="29"/>
        <v>0</v>
      </c>
      <c r="I65" s="95">
        <f t="shared" si="29"/>
        <v>0</v>
      </c>
      <c r="J65" s="95">
        <f t="shared" si="29"/>
        <v>20</v>
      </c>
      <c r="K65" s="79">
        <f t="shared" si="29"/>
        <v>0</v>
      </c>
      <c r="L65" s="79">
        <f t="shared" si="29"/>
        <v>0</v>
      </c>
      <c r="M65" s="96">
        <f t="shared" si="29"/>
        <v>0</v>
      </c>
      <c r="N65" s="79">
        <f t="shared" si="29"/>
        <v>0</v>
      </c>
      <c r="O65" s="115">
        <f t="shared" si="29"/>
        <v>0</v>
      </c>
      <c r="P65" s="79">
        <f t="shared" si="29"/>
        <v>0</v>
      </c>
      <c r="Q65" s="79">
        <f t="shared" si="29"/>
        <v>0</v>
      </c>
      <c r="R65" s="79">
        <f t="shared" si="29"/>
        <v>0</v>
      </c>
      <c r="S65" s="79">
        <f t="shared" si="29"/>
        <v>0</v>
      </c>
      <c r="T65" s="79">
        <f t="shared" si="29"/>
        <v>0</v>
      </c>
    </row>
    <row r="66" spans="1:20" ht="76.5" hidden="1">
      <c r="A66" s="17"/>
      <c r="B66" s="5"/>
      <c r="C66" s="66" t="s">
        <v>528</v>
      </c>
      <c r="D66" s="41"/>
      <c r="E66" s="134" t="s">
        <v>526</v>
      </c>
      <c r="F66" s="79">
        <f>F67</f>
        <v>0</v>
      </c>
      <c r="G66" s="79">
        <f t="shared" si="29"/>
        <v>20</v>
      </c>
      <c r="H66" s="79">
        <f t="shared" si="29"/>
        <v>0</v>
      </c>
      <c r="I66" s="79">
        <f t="shared" si="29"/>
        <v>0</v>
      </c>
      <c r="J66" s="79">
        <f t="shared" si="29"/>
        <v>20</v>
      </c>
      <c r="K66" s="69"/>
      <c r="L66" s="68"/>
      <c r="M66" s="70"/>
      <c r="N66" s="68"/>
      <c r="O66" s="51"/>
      <c r="P66" s="68"/>
      <c r="Q66" s="68"/>
      <c r="R66" s="68"/>
      <c r="S66" s="68"/>
      <c r="T66" s="68"/>
    </row>
    <row r="67" spans="1:20" ht="12.75" hidden="1">
      <c r="A67" s="17"/>
      <c r="B67" s="5"/>
      <c r="C67" s="66"/>
      <c r="D67" s="41" t="s">
        <v>9</v>
      </c>
      <c r="E67" s="67" t="s">
        <v>37</v>
      </c>
      <c r="F67" s="79"/>
      <c r="G67" s="93">
        <f>F67+SUM(H67:T67)</f>
        <v>20</v>
      </c>
      <c r="H67" s="68"/>
      <c r="I67" s="68"/>
      <c r="J67" s="69">
        <v>20</v>
      </c>
      <c r="K67" s="69"/>
      <c r="L67" s="68"/>
      <c r="M67" s="70"/>
      <c r="N67" s="68"/>
      <c r="O67" s="51"/>
      <c r="P67" s="68"/>
      <c r="Q67" s="68"/>
      <c r="R67" s="68"/>
      <c r="S67" s="68"/>
      <c r="T67" s="68"/>
    </row>
    <row r="68" spans="1:20" ht="12.75">
      <c r="A68" s="17"/>
      <c r="B68" s="5" t="s">
        <v>554</v>
      </c>
      <c r="C68" s="63"/>
      <c r="D68" s="11"/>
      <c r="E68" s="113" t="s">
        <v>555</v>
      </c>
      <c r="F68" s="95">
        <f>F69</f>
        <v>0</v>
      </c>
      <c r="G68" s="95">
        <f aca="true" t="shared" si="30" ref="G68:T70">G69</f>
        <v>140.5858</v>
      </c>
      <c r="H68" s="95">
        <f t="shared" si="30"/>
        <v>0</v>
      </c>
      <c r="I68" s="95">
        <f t="shared" si="30"/>
        <v>0</v>
      </c>
      <c r="J68" s="95">
        <f t="shared" si="30"/>
        <v>0</v>
      </c>
      <c r="K68" s="95">
        <f t="shared" si="30"/>
        <v>0</v>
      </c>
      <c r="L68" s="95">
        <f t="shared" si="30"/>
        <v>0</v>
      </c>
      <c r="M68" s="95">
        <f t="shared" si="30"/>
        <v>0</v>
      </c>
      <c r="N68" s="95">
        <f t="shared" si="30"/>
        <v>0</v>
      </c>
      <c r="O68" s="184">
        <f t="shared" si="30"/>
        <v>210.0858</v>
      </c>
      <c r="P68" s="95">
        <f t="shared" si="30"/>
        <v>0</v>
      </c>
      <c r="Q68" s="95">
        <f t="shared" si="30"/>
        <v>0</v>
      </c>
      <c r="R68" s="95">
        <f t="shared" si="30"/>
        <v>0</v>
      </c>
      <c r="S68" s="95">
        <f t="shared" si="30"/>
        <v>-69.5</v>
      </c>
      <c r="T68" s="95">
        <f t="shared" si="30"/>
        <v>0</v>
      </c>
    </row>
    <row r="69" spans="1:20" ht="12.75">
      <c r="A69" s="17"/>
      <c r="B69" s="17"/>
      <c r="C69" s="63" t="s">
        <v>550</v>
      </c>
      <c r="D69" s="11"/>
      <c r="E69" s="135" t="s">
        <v>552</v>
      </c>
      <c r="F69" s="95">
        <f>F70</f>
        <v>0</v>
      </c>
      <c r="G69" s="95">
        <f t="shared" si="30"/>
        <v>140.5858</v>
      </c>
      <c r="H69" s="95">
        <f t="shared" si="30"/>
        <v>0</v>
      </c>
      <c r="I69" s="95">
        <f t="shared" si="30"/>
        <v>0</v>
      </c>
      <c r="J69" s="95">
        <f t="shared" si="30"/>
        <v>0</v>
      </c>
      <c r="K69" s="95">
        <f t="shared" si="30"/>
        <v>0</v>
      </c>
      <c r="L69" s="95">
        <f t="shared" si="30"/>
        <v>0</v>
      </c>
      <c r="M69" s="95">
        <f t="shared" si="30"/>
        <v>0</v>
      </c>
      <c r="N69" s="95">
        <f t="shared" si="30"/>
        <v>0</v>
      </c>
      <c r="O69" s="184">
        <f t="shared" si="30"/>
        <v>210.0858</v>
      </c>
      <c r="P69" s="95">
        <f t="shared" si="30"/>
        <v>0</v>
      </c>
      <c r="Q69" s="95">
        <f t="shared" si="30"/>
        <v>0</v>
      </c>
      <c r="R69" s="95">
        <f t="shared" si="30"/>
        <v>0</v>
      </c>
      <c r="S69" s="95">
        <f t="shared" si="30"/>
        <v>-69.5</v>
      </c>
      <c r="T69" s="95">
        <f t="shared" si="30"/>
        <v>0</v>
      </c>
    </row>
    <row r="70" spans="1:20" ht="12.75">
      <c r="A70" s="17"/>
      <c r="B70" s="17"/>
      <c r="C70" s="66" t="s">
        <v>551</v>
      </c>
      <c r="D70" s="41"/>
      <c r="E70" s="134" t="s">
        <v>553</v>
      </c>
      <c r="F70" s="79">
        <f>F71</f>
        <v>0</v>
      </c>
      <c r="G70" s="79">
        <f t="shared" si="30"/>
        <v>140.5858</v>
      </c>
      <c r="H70" s="79">
        <f t="shared" si="30"/>
        <v>0</v>
      </c>
      <c r="I70" s="79">
        <f t="shared" si="30"/>
        <v>0</v>
      </c>
      <c r="J70" s="79">
        <f t="shared" si="30"/>
        <v>0</v>
      </c>
      <c r="K70" s="79">
        <f t="shared" si="30"/>
        <v>0</v>
      </c>
      <c r="L70" s="79">
        <f t="shared" si="30"/>
        <v>0</v>
      </c>
      <c r="M70" s="79">
        <f t="shared" si="30"/>
        <v>0</v>
      </c>
      <c r="N70" s="79">
        <f t="shared" si="30"/>
        <v>0</v>
      </c>
      <c r="O70" s="115">
        <f t="shared" si="30"/>
        <v>210.0858</v>
      </c>
      <c r="P70" s="79">
        <f t="shared" si="30"/>
        <v>0</v>
      </c>
      <c r="Q70" s="79">
        <f t="shared" si="30"/>
        <v>0</v>
      </c>
      <c r="R70" s="79">
        <f t="shared" si="30"/>
        <v>0</v>
      </c>
      <c r="S70" s="79">
        <f t="shared" si="30"/>
        <v>-69.5</v>
      </c>
      <c r="T70" s="79">
        <f t="shared" si="30"/>
        <v>0</v>
      </c>
    </row>
    <row r="71" spans="1:20" ht="25.5">
      <c r="A71" s="17"/>
      <c r="B71" s="17"/>
      <c r="C71" s="66"/>
      <c r="D71" s="41" t="s">
        <v>3</v>
      </c>
      <c r="E71" s="67" t="s">
        <v>95</v>
      </c>
      <c r="F71" s="79"/>
      <c r="G71" s="93">
        <f>F71+SUM(H71:T71)</f>
        <v>140.5858</v>
      </c>
      <c r="H71" s="68"/>
      <c r="I71" s="68"/>
      <c r="J71" s="69"/>
      <c r="K71" s="69"/>
      <c r="L71" s="68"/>
      <c r="M71" s="70"/>
      <c r="N71" s="68"/>
      <c r="O71" s="51">
        <v>210.0858</v>
      </c>
      <c r="P71" s="68"/>
      <c r="Q71" s="68"/>
      <c r="R71" s="68"/>
      <c r="S71" s="68">
        <v>-69.5</v>
      </c>
      <c r="T71" s="68"/>
    </row>
    <row r="72" spans="1:20" s="55" customFormat="1" ht="12.75" hidden="1">
      <c r="A72" s="5"/>
      <c r="B72" s="5" t="s">
        <v>84</v>
      </c>
      <c r="C72" s="5"/>
      <c r="D72" s="5"/>
      <c r="E72" s="13" t="s">
        <v>39</v>
      </c>
      <c r="F72" s="119">
        <f>F78+F96+F104+F73</f>
        <v>5739.8</v>
      </c>
      <c r="G72" s="119">
        <f aca="true" t="shared" si="31" ref="G72:O72">G78+G96+G104+G73</f>
        <v>14594.994</v>
      </c>
      <c r="H72" s="119">
        <f t="shared" si="31"/>
        <v>-420.583</v>
      </c>
      <c r="I72" s="119">
        <f t="shared" si="31"/>
        <v>1216.888</v>
      </c>
      <c r="J72" s="119">
        <f t="shared" si="31"/>
        <v>7971.84</v>
      </c>
      <c r="K72" s="119">
        <f t="shared" si="31"/>
        <v>0</v>
      </c>
      <c r="L72" s="119">
        <f t="shared" si="31"/>
        <v>33.8</v>
      </c>
      <c r="M72" s="131">
        <f t="shared" si="31"/>
        <v>77.24900000000001</v>
      </c>
      <c r="N72" s="119">
        <f t="shared" si="31"/>
        <v>0</v>
      </c>
      <c r="O72" s="185">
        <f t="shared" si="31"/>
        <v>0</v>
      </c>
      <c r="P72" s="119">
        <f>P78+P96+P104+P73</f>
        <v>-24</v>
      </c>
      <c r="Q72" s="119">
        <f>Q78+Q96+Q104+Q73</f>
        <v>0</v>
      </c>
      <c r="R72" s="119">
        <f>R78+R96+R104+R73</f>
        <v>0</v>
      </c>
      <c r="S72" s="119">
        <f>S78+S96+S104+S73</f>
        <v>0</v>
      </c>
      <c r="T72" s="119">
        <f>T78+T96+T104+T73</f>
        <v>0</v>
      </c>
    </row>
    <row r="73" spans="1:20" s="55" customFormat="1" ht="51" hidden="1">
      <c r="A73" s="5"/>
      <c r="B73" s="5"/>
      <c r="C73" s="63" t="s">
        <v>174</v>
      </c>
      <c r="D73" s="11"/>
      <c r="E73" s="60" t="s">
        <v>110</v>
      </c>
      <c r="F73" s="119">
        <f>F74</f>
        <v>0</v>
      </c>
      <c r="G73" s="119">
        <f aca="true" t="shared" si="32" ref="G73:T76">G74</f>
        <v>167.26</v>
      </c>
      <c r="H73" s="119">
        <f t="shared" si="32"/>
        <v>0</v>
      </c>
      <c r="I73" s="119">
        <f t="shared" si="32"/>
        <v>0</v>
      </c>
      <c r="J73" s="119">
        <f t="shared" si="32"/>
        <v>99</v>
      </c>
      <c r="K73" s="119">
        <f t="shared" si="32"/>
        <v>0</v>
      </c>
      <c r="L73" s="119">
        <f t="shared" si="32"/>
        <v>0</v>
      </c>
      <c r="M73" s="131">
        <f t="shared" si="32"/>
        <v>68.26</v>
      </c>
      <c r="N73" s="119">
        <f t="shared" si="32"/>
        <v>0</v>
      </c>
      <c r="O73" s="185">
        <f t="shared" si="32"/>
        <v>0</v>
      </c>
      <c r="P73" s="119">
        <f t="shared" si="32"/>
        <v>0</v>
      </c>
      <c r="Q73" s="119">
        <f t="shared" si="32"/>
        <v>0</v>
      </c>
      <c r="R73" s="119">
        <f t="shared" si="32"/>
        <v>0</v>
      </c>
      <c r="S73" s="119">
        <f t="shared" si="32"/>
        <v>0</v>
      </c>
      <c r="T73" s="119">
        <f t="shared" si="32"/>
        <v>0</v>
      </c>
    </row>
    <row r="74" spans="1:20" s="55" customFormat="1" ht="25.5" hidden="1">
      <c r="A74" s="5"/>
      <c r="B74" s="5"/>
      <c r="C74" s="82" t="s">
        <v>175</v>
      </c>
      <c r="D74" s="41"/>
      <c r="E74" s="61" t="s">
        <v>111</v>
      </c>
      <c r="F74" s="119">
        <f>F75</f>
        <v>0</v>
      </c>
      <c r="G74" s="101">
        <f t="shared" si="32"/>
        <v>167.26</v>
      </c>
      <c r="H74" s="101">
        <f t="shared" si="32"/>
        <v>0</v>
      </c>
      <c r="I74" s="101">
        <f t="shared" si="32"/>
        <v>0</v>
      </c>
      <c r="J74" s="101">
        <f t="shared" si="32"/>
        <v>99</v>
      </c>
      <c r="K74" s="101">
        <f t="shared" si="32"/>
        <v>0</v>
      </c>
      <c r="L74" s="101">
        <f t="shared" si="32"/>
        <v>0</v>
      </c>
      <c r="M74" s="96">
        <f t="shared" si="32"/>
        <v>68.26</v>
      </c>
      <c r="N74" s="101">
        <f t="shared" si="32"/>
        <v>0</v>
      </c>
      <c r="O74" s="186">
        <f t="shared" si="32"/>
        <v>0</v>
      </c>
      <c r="P74" s="101">
        <f t="shared" si="32"/>
        <v>0</v>
      </c>
      <c r="Q74" s="101">
        <f t="shared" si="32"/>
        <v>0</v>
      </c>
      <c r="R74" s="101">
        <f t="shared" si="32"/>
        <v>0</v>
      </c>
      <c r="S74" s="101">
        <f t="shared" si="32"/>
        <v>0</v>
      </c>
      <c r="T74" s="101">
        <f t="shared" si="32"/>
        <v>0</v>
      </c>
    </row>
    <row r="75" spans="1:20" s="55" customFormat="1" ht="25.5" hidden="1">
      <c r="A75" s="5"/>
      <c r="B75" s="5"/>
      <c r="C75" s="66" t="s">
        <v>176</v>
      </c>
      <c r="D75" s="41"/>
      <c r="E75" s="57" t="s">
        <v>178</v>
      </c>
      <c r="F75" s="119">
        <f>F76</f>
        <v>0</v>
      </c>
      <c r="G75" s="101">
        <f t="shared" si="32"/>
        <v>167.26</v>
      </c>
      <c r="H75" s="101">
        <f t="shared" si="32"/>
        <v>0</v>
      </c>
      <c r="I75" s="101">
        <f t="shared" si="32"/>
        <v>0</v>
      </c>
      <c r="J75" s="101">
        <f t="shared" si="32"/>
        <v>99</v>
      </c>
      <c r="K75" s="101">
        <f t="shared" si="32"/>
        <v>0</v>
      </c>
      <c r="L75" s="101">
        <f t="shared" si="32"/>
        <v>0</v>
      </c>
      <c r="M75" s="96">
        <f t="shared" si="32"/>
        <v>68.26</v>
      </c>
      <c r="N75" s="101">
        <f t="shared" si="32"/>
        <v>0</v>
      </c>
      <c r="O75" s="186">
        <f t="shared" si="32"/>
        <v>0</v>
      </c>
      <c r="P75" s="101">
        <f t="shared" si="32"/>
        <v>0</v>
      </c>
      <c r="Q75" s="101">
        <f t="shared" si="32"/>
        <v>0</v>
      </c>
      <c r="R75" s="101">
        <f t="shared" si="32"/>
        <v>0</v>
      </c>
      <c r="S75" s="101">
        <f t="shared" si="32"/>
        <v>0</v>
      </c>
      <c r="T75" s="101">
        <f t="shared" si="32"/>
        <v>0</v>
      </c>
    </row>
    <row r="76" spans="1:20" s="55" customFormat="1" ht="25.5" hidden="1">
      <c r="A76" s="5"/>
      <c r="B76" s="5"/>
      <c r="C76" s="66" t="s">
        <v>177</v>
      </c>
      <c r="D76" s="41"/>
      <c r="E76" s="57" t="s">
        <v>179</v>
      </c>
      <c r="F76" s="119">
        <f>F77</f>
        <v>0</v>
      </c>
      <c r="G76" s="101">
        <f t="shared" si="32"/>
        <v>167.26</v>
      </c>
      <c r="H76" s="101">
        <f t="shared" si="32"/>
        <v>0</v>
      </c>
      <c r="I76" s="101">
        <f t="shared" si="32"/>
        <v>0</v>
      </c>
      <c r="J76" s="101">
        <f t="shared" si="32"/>
        <v>99</v>
      </c>
      <c r="K76" s="101">
        <f t="shared" si="32"/>
        <v>0</v>
      </c>
      <c r="L76" s="101">
        <f t="shared" si="32"/>
        <v>0</v>
      </c>
      <c r="M76" s="96">
        <f t="shared" si="32"/>
        <v>68.26</v>
      </c>
      <c r="N76" s="101">
        <f t="shared" si="32"/>
        <v>0</v>
      </c>
      <c r="O76" s="186">
        <f t="shared" si="32"/>
        <v>0</v>
      </c>
      <c r="P76" s="101">
        <f t="shared" si="32"/>
        <v>0</v>
      </c>
      <c r="Q76" s="101">
        <f t="shared" si="32"/>
        <v>0</v>
      </c>
      <c r="R76" s="101">
        <f t="shared" si="32"/>
        <v>0</v>
      </c>
      <c r="S76" s="101">
        <f t="shared" si="32"/>
        <v>0</v>
      </c>
      <c r="T76" s="101">
        <f t="shared" si="32"/>
        <v>0</v>
      </c>
    </row>
    <row r="77" spans="1:20" s="55" customFormat="1" ht="25.5" hidden="1">
      <c r="A77" s="5"/>
      <c r="B77" s="5"/>
      <c r="C77" s="66"/>
      <c r="D77" s="41" t="s">
        <v>3</v>
      </c>
      <c r="E77" s="67" t="s">
        <v>95</v>
      </c>
      <c r="F77" s="119"/>
      <c r="G77" s="93">
        <f>F77+SUM(H77:T77)</f>
        <v>167.26</v>
      </c>
      <c r="H77" s="101"/>
      <c r="I77" s="101"/>
      <c r="J77" s="101">
        <v>99</v>
      </c>
      <c r="K77" s="101"/>
      <c r="L77" s="101"/>
      <c r="M77" s="96">
        <f>68.26</f>
        <v>68.26</v>
      </c>
      <c r="N77" s="101"/>
      <c r="O77" s="186"/>
      <c r="P77" s="101"/>
      <c r="Q77" s="101"/>
      <c r="R77" s="101"/>
      <c r="S77" s="101"/>
      <c r="T77" s="101"/>
    </row>
    <row r="78" spans="1:20" s="55" customFormat="1" ht="51" hidden="1">
      <c r="A78" s="5"/>
      <c r="B78" s="5"/>
      <c r="C78" s="63" t="s">
        <v>241</v>
      </c>
      <c r="D78" s="11"/>
      <c r="E78" s="60" t="s">
        <v>118</v>
      </c>
      <c r="F78" s="95">
        <f>F79+F82+F85+F89</f>
        <v>745</v>
      </c>
      <c r="G78" s="95">
        <f aca="true" t="shared" si="33" ref="G78:T78">G79+G82+G85+G89</f>
        <v>306.777</v>
      </c>
      <c r="H78" s="73">
        <f t="shared" si="33"/>
        <v>-438.223</v>
      </c>
      <c r="I78" s="73">
        <f t="shared" si="33"/>
        <v>0</v>
      </c>
      <c r="J78" s="73">
        <f t="shared" si="33"/>
        <v>0</v>
      </c>
      <c r="K78" s="73">
        <f t="shared" si="33"/>
        <v>0</v>
      </c>
      <c r="L78" s="73">
        <f t="shared" si="33"/>
        <v>0</v>
      </c>
      <c r="M78" s="77">
        <f t="shared" si="33"/>
        <v>0</v>
      </c>
      <c r="N78" s="73">
        <f t="shared" si="33"/>
        <v>0</v>
      </c>
      <c r="O78" s="50">
        <f t="shared" si="33"/>
        <v>0</v>
      </c>
      <c r="P78" s="73">
        <f t="shared" si="33"/>
        <v>0</v>
      </c>
      <c r="Q78" s="73">
        <f t="shared" si="33"/>
        <v>0</v>
      </c>
      <c r="R78" s="73">
        <f>R79+R82+R85+R89</f>
        <v>0</v>
      </c>
      <c r="S78" s="73">
        <f>S79+S82+S85+S89</f>
        <v>0</v>
      </c>
      <c r="T78" s="73">
        <f t="shared" si="33"/>
        <v>0</v>
      </c>
    </row>
    <row r="79" spans="1:20" s="55" customFormat="1" ht="38.25" hidden="1">
      <c r="A79" s="5"/>
      <c r="B79" s="5"/>
      <c r="C79" s="82" t="s">
        <v>242</v>
      </c>
      <c r="D79" s="41"/>
      <c r="E79" s="61" t="s">
        <v>244</v>
      </c>
      <c r="F79" s="79">
        <f>F80</f>
        <v>35</v>
      </c>
      <c r="G79" s="79">
        <f aca="true" t="shared" si="34" ref="G79:T80">G80</f>
        <v>35</v>
      </c>
      <c r="H79" s="68">
        <f t="shared" si="34"/>
        <v>0</v>
      </c>
      <c r="I79" s="68">
        <f t="shared" si="34"/>
        <v>0</v>
      </c>
      <c r="J79" s="68">
        <f t="shared" si="34"/>
        <v>0</v>
      </c>
      <c r="K79" s="68">
        <f t="shared" si="34"/>
        <v>0</v>
      </c>
      <c r="L79" s="68">
        <f t="shared" si="34"/>
        <v>0</v>
      </c>
      <c r="M79" s="70">
        <f t="shared" si="34"/>
        <v>0</v>
      </c>
      <c r="N79" s="68">
        <f t="shared" si="34"/>
        <v>0</v>
      </c>
      <c r="O79" s="51">
        <f t="shared" si="34"/>
        <v>0</v>
      </c>
      <c r="P79" s="68">
        <f t="shared" si="34"/>
        <v>0</v>
      </c>
      <c r="Q79" s="68">
        <f t="shared" si="34"/>
        <v>0</v>
      </c>
      <c r="R79" s="68">
        <f t="shared" si="34"/>
        <v>0</v>
      </c>
      <c r="S79" s="68">
        <f t="shared" si="34"/>
        <v>0</v>
      </c>
      <c r="T79" s="68">
        <f t="shared" si="34"/>
        <v>0</v>
      </c>
    </row>
    <row r="80" spans="1:20" s="55" customFormat="1" ht="38.25" hidden="1">
      <c r="A80" s="5"/>
      <c r="B80" s="5"/>
      <c r="C80" s="66" t="s">
        <v>243</v>
      </c>
      <c r="D80" s="41"/>
      <c r="E80" s="57" t="s">
        <v>245</v>
      </c>
      <c r="F80" s="79">
        <f>F81</f>
        <v>35</v>
      </c>
      <c r="G80" s="79">
        <f t="shared" si="34"/>
        <v>35</v>
      </c>
      <c r="H80" s="68">
        <f t="shared" si="34"/>
        <v>0</v>
      </c>
      <c r="I80" s="68">
        <f t="shared" si="34"/>
        <v>0</v>
      </c>
      <c r="J80" s="68">
        <f t="shared" si="34"/>
        <v>0</v>
      </c>
      <c r="K80" s="68">
        <f t="shared" si="34"/>
        <v>0</v>
      </c>
      <c r="L80" s="68">
        <f t="shared" si="34"/>
        <v>0</v>
      </c>
      <c r="M80" s="70">
        <f t="shared" si="34"/>
        <v>0</v>
      </c>
      <c r="N80" s="68">
        <f t="shared" si="34"/>
        <v>0</v>
      </c>
      <c r="O80" s="51">
        <f t="shared" si="34"/>
        <v>0</v>
      </c>
      <c r="P80" s="68">
        <f t="shared" si="34"/>
        <v>0</v>
      </c>
      <c r="Q80" s="68">
        <f t="shared" si="34"/>
        <v>0</v>
      </c>
      <c r="R80" s="68">
        <f t="shared" si="34"/>
        <v>0</v>
      </c>
      <c r="S80" s="68">
        <f t="shared" si="34"/>
        <v>0</v>
      </c>
      <c r="T80" s="68">
        <f t="shared" si="34"/>
        <v>0</v>
      </c>
    </row>
    <row r="81" spans="1:20" s="55" customFormat="1" ht="12.75" hidden="1">
      <c r="A81" s="5"/>
      <c r="B81" s="5"/>
      <c r="C81" s="66"/>
      <c r="D81" s="41" t="s">
        <v>4</v>
      </c>
      <c r="E81" s="67" t="s">
        <v>5</v>
      </c>
      <c r="F81" s="79">
        <v>35</v>
      </c>
      <c r="G81" s="93">
        <f>F81+SUM(H81:T81)</f>
        <v>35</v>
      </c>
      <c r="H81" s="68"/>
      <c r="I81" s="68"/>
      <c r="J81" s="69"/>
      <c r="K81" s="69"/>
      <c r="L81" s="68"/>
      <c r="M81" s="70"/>
      <c r="N81" s="68"/>
      <c r="O81" s="51"/>
      <c r="P81" s="68"/>
      <c r="Q81" s="68"/>
      <c r="R81" s="68"/>
      <c r="S81" s="68"/>
      <c r="T81" s="68"/>
    </row>
    <row r="82" spans="1:20" s="55" customFormat="1" ht="38.25" hidden="1">
      <c r="A82" s="5"/>
      <c r="B82" s="5"/>
      <c r="C82" s="82" t="s">
        <v>246</v>
      </c>
      <c r="D82" s="99"/>
      <c r="E82" s="61" t="s">
        <v>248</v>
      </c>
      <c r="F82" s="79">
        <f>F83</f>
        <v>10</v>
      </c>
      <c r="G82" s="79">
        <f aca="true" t="shared" si="35" ref="G82:T83">G83</f>
        <v>0</v>
      </c>
      <c r="H82" s="68">
        <f t="shared" si="35"/>
        <v>-10</v>
      </c>
      <c r="I82" s="68">
        <f t="shared" si="35"/>
        <v>0</v>
      </c>
      <c r="J82" s="68">
        <f t="shared" si="35"/>
        <v>0</v>
      </c>
      <c r="K82" s="68">
        <f t="shared" si="35"/>
        <v>0</v>
      </c>
      <c r="L82" s="68">
        <f t="shared" si="35"/>
        <v>0</v>
      </c>
      <c r="M82" s="70">
        <f t="shared" si="35"/>
        <v>0</v>
      </c>
      <c r="N82" s="68">
        <f t="shared" si="35"/>
        <v>0</v>
      </c>
      <c r="O82" s="51">
        <f t="shared" si="35"/>
        <v>0</v>
      </c>
      <c r="P82" s="68">
        <f t="shared" si="35"/>
        <v>0</v>
      </c>
      <c r="Q82" s="68">
        <f t="shared" si="35"/>
        <v>0</v>
      </c>
      <c r="R82" s="68">
        <f t="shared" si="35"/>
        <v>0</v>
      </c>
      <c r="S82" s="68">
        <f t="shared" si="35"/>
        <v>0</v>
      </c>
      <c r="T82" s="68">
        <f t="shared" si="35"/>
        <v>0</v>
      </c>
    </row>
    <row r="83" spans="1:20" s="55" customFormat="1" ht="25.5" hidden="1">
      <c r="A83" s="5"/>
      <c r="B83" s="5"/>
      <c r="C83" s="66" t="s">
        <v>247</v>
      </c>
      <c r="D83" s="41"/>
      <c r="E83" s="57" t="s">
        <v>249</v>
      </c>
      <c r="F83" s="79">
        <f>F84</f>
        <v>10</v>
      </c>
      <c r="G83" s="79">
        <f t="shared" si="35"/>
        <v>0</v>
      </c>
      <c r="H83" s="68">
        <f t="shared" si="35"/>
        <v>-10</v>
      </c>
      <c r="I83" s="68">
        <f t="shared" si="35"/>
        <v>0</v>
      </c>
      <c r="J83" s="68">
        <f t="shared" si="35"/>
        <v>0</v>
      </c>
      <c r="K83" s="68">
        <f t="shared" si="35"/>
        <v>0</v>
      </c>
      <c r="L83" s="68">
        <f t="shared" si="35"/>
        <v>0</v>
      </c>
      <c r="M83" s="70">
        <f t="shared" si="35"/>
        <v>0</v>
      </c>
      <c r="N83" s="68">
        <f t="shared" si="35"/>
        <v>0</v>
      </c>
      <c r="O83" s="51">
        <f t="shared" si="35"/>
        <v>0</v>
      </c>
      <c r="P83" s="68">
        <f t="shared" si="35"/>
        <v>0</v>
      </c>
      <c r="Q83" s="68">
        <f t="shared" si="35"/>
        <v>0</v>
      </c>
      <c r="R83" s="68">
        <f t="shared" si="35"/>
        <v>0</v>
      </c>
      <c r="S83" s="68">
        <f t="shared" si="35"/>
        <v>0</v>
      </c>
      <c r="T83" s="68">
        <f t="shared" si="35"/>
        <v>0</v>
      </c>
    </row>
    <row r="84" spans="1:20" s="55" customFormat="1" ht="25.5" hidden="1">
      <c r="A84" s="5"/>
      <c r="B84" s="5"/>
      <c r="C84" s="66"/>
      <c r="D84" s="41" t="s">
        <v>3</v>
      </c>
      <c r="E84" s="67" t="s">
        <v>95</v>
      </c>
      <c r="F84" s="79">
        <v>10</v>
      </c>
      <c r="G84" s="93">
        <f>F84+SUM(H84:T84)</f>
        <v>0</v>
      </c>
      <c r="H84" s="68">
        <v>-10</v>
      </c>
      <c r="I84" s="68"/>
      <c r="J84" s="69"/>
      <c r="K84" s="69"/>
      <c r="L84" s="68"/>
      <c r="M84" s="70"/>
      <c r="N84" s="68"/>
      <c r="O84" s="51"/>
      <c r="P84" s="68"/>
      <c r="Q84" s="68"/>
      <c r="R84" s="68"/>
      <c r="S84" s="68"/>
      <c r="T84" s="68"/>
    </row>
    <row r="85" spans="1:20" s="55" customFormat="1" ht="25.5" hidden="1">
      <c r="A85" s="5"/>
      <c r="B85" s="5"/>
      <c r="C85" s="82" t="s">
        <v>250</v>
      </c>
      <c r="D85" s="41"/>
      <c r="E85" s="61" t="s">
        <v>119</v>
      </c>
      <c r="F85" s="79">
        <f>F86</f>
        <v>0</v>
      </c>
      <c r="G85" s="79">
        <f aca="true" t="shared" si="36" ref="G85:T87">G86</f>
        <v>0</v>
      </c>
      <c r="H85" s="68">
        <f t="shared" si="36"/>
        <v>0</v>
      </c>
      <c r="I85" s="68">
        <f t="shared" si="36"/>
        <v>0</v>
      </c>
      <c r="J85" s="68">
        <f t="shared" si="36"/>
        <v>0</v>
      </c>
      <c r="K85" s="68">
        <f t="shared" si="36"/>
        <v>0</v>
      </c>
      <c r="L85" s="68">
        <f t="shared" si="36"/>
        <v>0</v>
      </c>
      <c r="M85" s="70">
        <f t="shared" si="36"/>
        <v>0</v>
      </c>
      <c r="N85" s="68">
        <f t="shared" si="36"/>
        <v>0</v>
      </c>
      <c r="O85" s="51">
        <f t="shared" si="36"/>
        <v>0</v>
      </c>
      <c r="P85" s="68">
        <f t="shared" si="36"/>
        <v>0</v>
      </c>
      <c r="Q85" s="68">
        <f t="shared" si="36"/>
        <v>0</v>
      </c>
      <c r="R85" s="68">
        <f t="shared" si="36"/>
        <v>0</v>
      </c>
      <c r="S85" s="68">
        <f t="shared" si="36"/>
        <v>0</v>
      </c>
      <c r="T85" s="68">
        <f t="shared" si="36"/>
        <v>0</v>
      </c>
    </row>
    <row r="86" spans="1:20" s="55" customFormat="1" ht="38.25" hidden="1">
      <c r="A86" s="5"/>
      <c r="B86" s="5"/>
      <c r="C86" s="66" t="s">
        <v>251</v>
      </c>
      <c r="D86" s="41"/>
      <c r="E86" s="57" t="s">
        <v>253</v>
      </c>
      <c r="F86" s="79">
        <f>F87</f>
        <v>0</v>
      </c>
      <c r="G86" s="79">
        <f t="shared" si="36"/>
        <v>0</v>
      </c>
      <c r="H86" s="68">
        <f t="shared" si="36"/>
        <v>0</v>
      </c>
      <c r="I86" s="68">
        <f t="shared" si="36"/>
        <v>0</v>
      </c>
      <c r="J86" s="68">
        <f t="shared" si="36"/>
        <v>0</v>
      </c>
      <c r="K86" s="68">
        <f t="shared" si="36"/>
        <v>0</v>
      </c>
      <c r="L86" s="68">
        <f t="shared" si="36"/>
        <v>0</v>
      </c>
      <c r="M86" s="70">
        <f t="shared" si="36"/>
        <v>0</v>
      </c>
      <c r="N86" s="68">
        <f t="shared" si="36"/>
        <v>0</v>
      </c>
      <c r="O86" s="51">
        <f t="shared" si="36"/>
        <v>0</v>
      </c>
      <c r="P86" s="68">
        <f t="shared" si="36"/>
        <v>0</v>
      </c>
      <c r="Q86" s="68">
        <f t="shared" si="36"/>
        <v>0</v>
      </c>
      <c r="R86" s="68">
        <f t="shared" si="36"/>
        <v>0</v>
      </c>
      <c r="S86" s="68">
        <f t="shared" si="36"/>
        <v>0</v>
      </c>
      <c r="T86" s="68">
        <f t="shared" si="36"/>
        <v>0</v>
      </c>
    </row>
    <row r="87" spans="1:20" s="55" customFormat="1" ht="25.5" hidden="1">
      <c r="A87" s="5"/>
      <c r="B87" s="5"/>
      <c r="C87" s="66" t="s">
        <v>252</v>
      </c>
      <c r="D87" s="41"/>
      <c r="E87" s="57" t="s">
        <v>254</v>
      </c>
      <c r="F87" s="79">
        <f>F88</f>
        <v>0</v>
      </c>
      <c r="G87" s="79">
        <f t="shared" si="36"/>
        <v>0</v>
      </c>
      <c r="H87" s="68">
        <f t="shared" si="36"/>
        <v>0</v>
      </c>
      <c r="I87" s="68">
        <f t="shared" si="36"/>
        <v>0</v>
      </c>
      <c r="J87" s="68">
        <f t="shared" si="36"/>
        <v>0</v>
      </c>
      <c r="K87" s="68">
        <f t="shared" si="36"/>
        <v>0</v>
      </c>
      <c r="L87" s="68">
        <f t="shared" si="36"/>
        <v>0</v>
      </c>
      <c r="M87" s="70">
        <f t="shared" si="36"/>
        <v>0</v>
      </c>
      <c r="N87" s="68">
        <f t="shared" si="36"/>
        <v>0</v>
      </c>
      <c r="O87" s="51">
        <f t="shared" si="36"/>
        <v>0</v>
      </c>
      <c r="P87" s="68">
        <f t="shared" si="36"/>
        <v>0</v>
      </c>
      <c r="Q87" s="68">
        <f t="shared" si="36"/>
        <v>0</v>
      </c>
      <c r="R87" s="68">
        <f t="shared" si="36"/>
        <v>0</v>
      </c>
      <c r="S87" s="68">
        <f t="shared" si="36"/>
        <v>0</v>
      </c>
      <c r="T87" s="68">
        <f t="shared" si="36"/>
        <v>0</v>
      </c>
    </row>
    <row r="88" spans="1:20" ht="25.5" hidden="1">
      <c r="A88" s="17"/>
      <c r="B88" s="17"/>
      <c r="C88" s="66"/>
      <c r="D88" s="41" t="s">
        <v>3</v>
      </c>
      <c r="E88" s="67" t="s">
        <v>95</v>
      </c>
      <c r="F88" s="79"/>
      <c r="G88" s="93">
        <f>F88+SUM(H88:T88)</f>
        <v>0</v>
      </c>
      <c r="H88" s="68"/>
      <c r="I88" s="68"/>
      <c r="J88" s="69"/>
      <c r="K88" s="69"/>
      <c r="L88" s="68"/>
      <c r="M88" s="70"/>
      <c r="N88" s="68"/>
      <c r="O88" s="51"/>
      <c r="P88" s="68"/>
      <c r="Q88" s="68"/>
      <c r="R88" s="68"/>
      <c r="S88" s="68"/>
      <c r="T88" s="68"/>
    </row>
    <row r="89" spans="1:20" ht="51" hidden="1">
      <c r="A89" s="17"/>
      <c r="B89" s="17"/>
      <c r="C89" s="82" t="s">
        <v>255</v>
      </c>
      <c r="D89" s="41"/>
      <c r="E89" s="61" t="s">
        <v>120</v>
      </c>
      <c r="F89" s="79">
        <f>F90+F93</f>
        <v>700</v>
      </c>
      <c r="G89" s="79">
        <f aca="true" t="shared" si="37" ref="G89:T89">G90+G93</f>
        <v>271.777</v>
      </c>
      <c r="H89" s="79">
        <f t="shared" si="37"/>
        <v>-428.223</v>
      </c>
      <c r="I89" s="79">
        <f t="shared" si="37"/>
        <v>0</v>
      </c>
      <c r="J89" s="79">
        <f t="shared" si="37"/>
        <v>0</v>
      </c>
      <c r="K89" s="79">
        <f t="shared" si="37"/>
        <v>0</v>
      </c>
      <c r="L89" s="79">
        <f t="shared" si="37"/>
        <v>0</v>
      </c>
      <c r="M89" s="96">
        <f t="shared" si="37"/>
        <v>0</v>
      </c>
      <c r="N89" s="79">
        <f t="shared" si="37"/>
        <v>0</v>
      </c>
      <c r="O89" s="115">
        <f t="shared" si="37"/>
        <v>0</v>
      </c>
      <c r="P89" s="79">
        <f t="shared" si="37"/>
        <v>0</v>
      </c>
      <c r="Q89" s="79">
        <f t="shared" si="37"/>
        <v>0</v>
      </c>
      <c r="R89" s="79">
        <f>R90+R93</f>
        <v>0</v>
      </c>
      <c r="S89" s="79">
        <f>S90+S93</f>
        <v>0</v>
      </c>
      <c r="T89" s="79">
        <f t="shared" si="37"/>
        <v>0</v>
      </c>
    </row>
    <row r="90" spans="1:20" ht="51" hidden="1">
      <c r="A90" s="17"/>
      <c r="B90" s="17"/>
      <c r="C90" s="66" t="s">
        <v>256</v>
      </c>
      <c r="D90" s="41"/>
      <c r="E90" s="67" t="s">
        <v>545</v>
      </c>
      <c r="F90" s="79">
        <f>F91</f>
        <v>0</v>
      </c>
      <c r="G90" s="79">
        <f aca="true" t="shared" si="38" ref="G90:T91">G91</f>
        <v>271.777</v>
      </c>
      <c r="H90" s="79">
        <f t="shared" si="38"/>
        <v>0</v>
      </c>
      <c r="I90" s="79">
        <f t="shared" si="38"/>
        <v>0</v>
      </c>
      <c r="J90" s="79">
        <f t="shared" si="38"/>
        <v>0</v>
      </c>
      <c r="K90" s="79">
        <f t="shared" si="38"/>
        <v>0</v>
      </c>
      <c r="L90" s="79">
        <f t="shared" si="38"/>
        <v>0</v>
      </c>
      <c r="M90" s="96">
        <f t="shared" si="38"/>
        <v>271.777</v>
      </c>
      <c r="N90" s="79">
        <f t="shared" si="38"/>
        <v>0</v>
      </c>
      <c r="O90" s="115">
        <f t="shared" si="38"/>
        <v>0</v>
      </c>
      <c r="P90" s="79">
        <f t="shared" si="38"/>
        <v>0</v>
      </c>
      <c r="Q90" s="79">
        <f t="shared" si="38"/>
        <v>0</v>
      </c>
      <c r="R90" s="79">
        <f t="shared" si="38"/>
        <v>0</v>
      </c>
      <c r="S90" s="79">
        <f t="shared" si="38"/>
        <v>0</v>
      </c>
      <c r="T90" s="79">
        <f t="shared" si="38"/>
        <v>0</v>
      </c>
    </row>
    <row r="91" spans="1:20" ht="76.5" hidden="1">
      <c r="A91" s="17"/>
      <c r="B91" s="17"/>
      <c r="C91" s="66" t="s">
        <v>257</v>
      </c>
      <c r="D91" s="41"/>
      <c r="E91" s="67" t="s">
        <v>546</v>
      </c>
      <c r="F91" s="79">
        <f>F92</f>
        <v>0</v>
      </c>
      <c r="G91" s="79">
        <f t="shared" si="38"/>
        <v>271.777</v>
      </c>
      <c r="H91" s="79">
        <f t="shared" si="38"/>
        <v>0</v>
      </c>
      <c r="I91" s="79">
        <f t="shared" si="38"/>
        <v>0</v>
      </c>
      <c r="J91" s="79">
        <f t="shared" si="38"/>
        <v>0</v>
      </c>
      <c r="K91" s="79">
        <f t="shared" si="38"/>
        <v>0</v>
      </c>
      <c r="L91" s="79">
        <f t="shared" si="38"/>
        <v>0</v>
      </c>
      <c r="M91" s="96">
        <f t="shared" si="38"/>
        <v>271.777</v>
      </c>
      <c r="N91" s="79">
        <f t="shared" si="38"/>
        <v>0</v>
      </c>
      <c r="O91" s="115">
        <f t="shared" si="38"/>
        <v>0</v>
      </c>
      <c r="P91" s="79">
        <f t="shared" si="38"/>
        <v>0</v>
      </c>
      <c r="Q91" s="79">
        <f t="shared" si="38"/>
        <v>0</v>
      </c>
      <c r="R91" s="79">
        <f t="shared" si="38"/>
        <v>0</v>
      </c>
      <c r="S91" s="79">
        <f t="shared" si="38"/>
        <v>0</v>
      </c>
      <c r="T91" s="79">
        <f t="shared" si="38"/>
        <v>0</v>
      </c>
    </row>
    <row r="92" spans="1:20" ht="25.5" hidden="1">
      <c r="A92" s="17"/>
      <c r="B92" s="17"/>
      <c r="C92" s="66"/>
      <c r="D92" s="41" t="s">
        <v>3</v>
      </c>
      <c r="E92" s="67" t="s">
        <v>95</v>
      </c>
      <c r="F92" s="79"/>
      <c r="G92" s="93">
        <f>F92+SUM(H92:T92)</f>
        <v>271.777</v>
      </c>
      <c r="H92" s="68"/>
      <c r="I92" s="68"/>
      <c r="J92" s="68"/>
      <c r="K92" s="68"/>
      <c r="L92" s="68"/>
      <c r="M92" s="70">
        <f>271.777</f>
        <v>271.777</v>
      </c>
      <c r="N92" s="68"/>
      <c r="O92" s="51"/>
      <c r="P92" s="68"/>
      <c r="Q92" s="68"/>
      <c r="R92" s="68"/>
      <c r="S92" s="68"/>
      <c r="T92" s="68"/>
    </row>
    <row r="93" spans="1:20" ht="51" hidden="1">
      <c r="A93" s="17"/>
      <c r="B93" s="17"/>
      <c r="C93" s="66" t="s">
        <v>256</v>
      </c>
      <c r="D93" s="41"/>
      <c r="E93" s="57" t="s">
        <v>258</v>
      </c>
      <c r="F93" s="79">
        <f>F94</f>
        <v>700</v>
      </c>
      <c r="G93" s="79">
        <f aca="true" t="shared" si="39" ref="G93:T93">G94</f>
        <v>0</v>
      </c>
      <c r="H93" s="79">
        <f t="shared" si="39"/>
        <v>-428.223</v>
      </c>
      <c r="I93" s="79">
        <f t="shared" si="39"/>
        <v>0</v>
      </c>
      <c r="J93" s="79">
        <f t="shared" si="39"/>
        <v>0</v>
      </c>
      <c r="K93" s="79">
        <f t="shared" si="39"/>
        <v>0</v>
      </c>
      <c r="L93" s="79">
        <f t="shared" si="39"/>
        <v>0</v>
      </c>
      <c r="M93" s="96">
        <f t="shared" si="39"/>
        <v>-271.777</v>
      </c>
      <c r="N93" s="79">
        <f t="shared" si="39"/>
        <v>0</v>
      </c>
      <c r="O93" s="115">
        <f t="shared" si="39"/>
        <v>0</v>
      </c>
      <c r="P93" s="79">
        <f t="shared" si="39"/>
        <v>0</v>
      </c>
      <c r="Q93" s="79">
        <f t="shared" si="39"/>
        <v>0</v>
      </c>
      <c r="R93" s="79">
        <f t="shared" si="39"/>
        <v>0</v>
      </c>
      <c r="S93" s="79">
        <f t="shared" si="39"/>
        <v>0</v>
      </c>
      <c r="T93" s="79">
        <f t="shared" si="39"/>
        <v>0</v>
      </c>
    </row>
    <row r="94" spans="1:20" ht="76.5" hidden="1">
      <c r="A94" s="17"/>
      <c r="B94" s="17"/>
      <c r="C94" s="66" t="s">
        <v>257</v>
      </c>
      <c r="D94" s="41"/>
      <c r="E94" s="57" t="s">
        <v>259</v>
      </c>
      <c r="F94" s="79">
        <f aca="true" t="shared" si="40" ref="F94:T94">F95</f>
        <v>700</v>
      </c>
      <c r="G94" s="79">
        <f t="shared" si="40"/>
        <v>0</v>
      </c>
      <c r="H94" s="79">
        <f t="shared" si="40"/>
        <v>-428.223</v>
      </c>
      <c r="I94" s="79">
        <f t="shared" si="40"/>
        <v>0</v>
      </c>
      <c r="J94" s="79">
        <f t="shared" si="40"/>
        <v>0</v>
      </c>
      <c r="K94" s="79">
        <f t="shared" si="40"/>
        <v>0</v>
      </c>
      <c r="L94" s="79">
        <f t="shared" si="40"/>
        <v>0</v>
      </c>
      <c r="M94" s="96">
        <f t="shared" si="40"/>
        <v>-271.777</v>
      </c>
      <c r="N94" s="79">
        <f t="shared" si="40"/>
        <v>0</v>
      </c>
      <c r="O94" s="115">
        <f t="shared" si="40"/>
        <v>0</v>
      </c>
      <c r="P94" s="79">
        <f t="shared" si="40"/>
        <v>0</v>
      </c>
      <c r="Q94" s="79">
        <f t="shared" si="40"/>
        <v>0</v>
      </c>
      <c r="R94" s="79">
        <f t="shared" si="40"/>
        <v>0</v>
      </c>
      <c r="S94" s="79">
        <f t="shared" si="40"/>
        <v>0</v>
      </c>
      <c r="T94" s="79">
        <f t="shared" si="40"/>
        <v>0</v>
      </c>
    </row>
    <row r="95" spans="1:20" ht="25.5" hidden="1">
      <c r="A95" s="17"/>
      <c r="B95" s="17"/>
      <c r="C95" s="66"/>
      <c r="D95" s="41" t="s">
        <v>3</v>
      </c>
      <c r="E95" s="67" t="s">
        <v>95</v>
      </c>
      <c r="F95" s="79">
        <v>700</v>
      </c>
      <c r="G95" s="93">
        <f>F95+SUM(H95:T95)</f>
        <v>0</v>
      </c>
      <c r="H95" s="68">
        <v>-428.223</v>
      </c>
      <c r="I95" s="68"/>
      <c r="J95" s="69"/>
      <c r="K95" s="69"/>
      <c r="L95" s="68"/>
      <c r="M95" s="70">
        <f>-271.777</f>
        <v>-271.777</v>
      </c>
      <c r="N95" s="68"/>
      <c r="O95" s="51"/>
      <c r="P95" s="68"/>
      <c r="Q95" s="68"/>
      <c r="R95" s="68"/>
      <c r="S95" s="68"/>
      <c r="T95" s="68"/>
    </row>
    <row r="96" spans="1:20" ht="51" hidden="1">
      <c r="A96" s="17"/>
      <c r="B96" s="17"/>
      <c r="C96" s="63" t="s">
        <v>265</v>
      </c>
      <c r="D96" s="11"/>
      <c r="E96" s="60" t="s">
        <v>121</v>
      </c>
      <c r="F96" s="95">
        <f>F97+F101</f>
        <v>670</v>
      </c>
      <c r="G96" s="95">
        <f aca="true" t="shared" si="41" ref="G96:T96">G97+G101</f>
        <v>670</v>
      </c>
      <c r="H96" s="73">
        <f t="shared" si="41"/>
        <v>0</v>
      </c>
      <c r="I96" s="73">
        <f t="shared" si="41"/>
        <v>0</v>
      </c>
      <c r="J96" s="73">
        <f t="shared" si="41"/>
        <v>0</v>
      </c>
      <c r="K96" s="73">
        <f t="shared" si="41"/>
        <v>0</v>
      </c>
      <c r="L96" s="73">
        <f t="shared" si="41"/>
        <v>0</v>
      </c>
      <c r="M96" s="77">
        <f t="shared" si="41"/>
        <v>0</v>
      </c>
      <c r="N96" s="73">
        <f t="shared" si="41"/>
        <v>0</v>
      </c>
      <c r="O96" s="50">
        <f t="shared" si="41"/>
        <v>0</v>
      </c>
      <c r="P96" s="73">
        <f t="shared" si="41"/>
        <v>0</v>
      </c>
      <c r="Q96" s="73">
        <f t="shared" si="41"/>
        <v>0</v>
      </c>
      <c r="R96" s="73">
        <f>R97+R101</f>
        <v>0</v>
      </c>
      <c r="S96" s="73">
        <f>S97+S101</f>
        <v>0</v>
      </c>
      <c r="T96" s="73">
        <f t="shared" si="41"/>
        <v>0</v>
      </c>
    </row>
    <row r="97" spans="1:20" ht="25.5" hidden="1">
      <c r="A97" s="17"/>
      <c r="B97" s="17"/>
      <c r="C97" s="82" t="s">
        <v>266</v>
      </c>
      <c r="D97" s="99"/>
      <c r="E97" s="61" t="s">
        <v>268</v>
      </c>
      <c r="F97" s="79">
        <f>F98</f>
        <v>600</v>
      </c>
      <c r="G97" s="79">
        <f aca="true" t="shared" si="42" ref="G97:T97">G98</f>
        <v>600</v>
      </c>
      <c r="H97" s="68">
        <f t="shared" si="42"/>
        <v>0</v>
      </c>
      <c r="I97" s="68">
        <f t="shared" si="42"/>
        <v>0</v>
      </c>
      <c r="J97" s="68">
        <f t="shared" si="42"/>
        <v>0</v>
      </c>
      <c r="K97" s="68">
        <f t="shared" si="42"/>
        <v>0</v>
      </c>
      <c r="L97" s="68">
        <f t="shared" si="42"/>
        <v>0</v>
      </c>
      <c r="M97" s="70">
        <f t="shared" si="42"/>
        <v>0</v>
      </c>
      <c r="N97" s="68">
        <f t="shared" si="42"/>
        <v>0</v>
      </c>
      <c r="O97" s="51">
        <f t="shared" si="42"/>
        <v>0</v>
      </c>
      <c r="P97" s="68">
        <f t="shared" si="42"/>
        <v>0</v>
      </c>
      <c r="Q97" s="68">
        <f t="shared" si="42"/>
        <v>0</v>
      </c>
      <c r="R97" s="68">
        <f t="shared" si="42"/>
        <v>0</v>
      </c>
      <c r="S97" s="68">
        <f t="shared" si="42"/>
        <v>0</v>
      </c>
      <c r="T97" s="68">
        <f t="shared" si="42"/>
        <v>0</v>
      </c>
    </row>
    <row r="98" spans="1:20" ht="25.5" hidden="1">
      <c r="A98" s="17"/>
      <c r="B98" s="17"/>
      <c r="C98" s="66" t="s">
        <v>267</v>
      </c>
      <c r="D98" s="41"/>
      <c r="E98" s="57" t="s">
        <v>269</v>
      </c>
      <c r="F98" s="79">
        <f>F99+F100</f>
        <v>600</v>
      </c>
      <c r="G98" s="79">
        <f aca="true" t="shared" si="43" ref="G98:T98">G99+G100</f>
        <v>600</v>
      </c>
      <c r="H98" s="68">
        <f t="shared" si="43"/>
        <v>0</v>
      </c>
      <c r="I98" s="68">
        <f t="shared" si="43"/>
        <v>0</v>
      </c>
      <c r="J98" s="68">
        <f t="shared" si="43"/>
        <v>0</v>
      </c>
      <c r="K98" s="68">
        <f t="shared" si="43"/>
        <v>0</v>
      </c>
      <c r="L98" s="68">
        <f t="shared" si="43"/>
        <v>0</v>
      </c>
      <c r="M98" s="70">
        <f t="shared" si="43"/>
        <v>0</v>
      </c>
      <c r="N98" s="68">
        <f t="shared" si="43"/>
        <v>0</v>
      </c>
      <c r="O98" s="51">
        <f t="shared" si="43"/>
        <v>0</v>
      </c>
      <c r="P98" s="68">
        <f t="shared" si="43"/>
        <v>0</v>
      </c>
      <c r="Q98" s="68">
        <f t="shared" si="43"/>
        <v>0</v>
      </c>
      <c r="R98" s="68">
        <f>R99+R100</f>
        <v>0</v>
      </c>
      <c r="S98" s="68">
        <f>S99+S100</f>
        <v>0</v>
      </c>
      <c r="T98" s="68">
        <f t="shared" si="43"/>
        <v>0</v>
      </c>
    </row>
    <row r="99" spans="1:20" ht="25.5" hidden="1">
      <c r="A99" s="17"/>
      <c r="B99" s="17"/>
      <c r="C99" s="66"/>
      <c r="D99" s="41" t="s">
        <v>3</v>
      </c>
      <c r="E99" s="67" t="s">
        <v>95</v>
      </c>
      <c r="F99" s="79"/>
      <c r="G99" s="93">
        <f>F99+SUM(H99:T99)</f>
        <v>0</v>
      </c>
      <c r="H99" s="68"/>
      <c r="I99" s="68"/>
      <c r="J99" s="69"/>
      <c r="K99" s="69"/>
      <c r="L99" s="68"/>
      <c r="M99" s="70"/>
      <c r="N99" s="68"/>
      <c r="O99" s="51"/>
      <c r="P99" s="68"/>
      <c r="Q99" s="68"/>
      <c r="R99" s="68"/>
      <c r="S99" s="68"/>
      <c r="T99" s="68"/>
    </row>
    <row r="100" spans="1:20" ht="12.75" hidden="1">
      <c r="A100" s="17"/>
      <c r="B100" s="17"/>
      <c r="C100" s="66"/>
      <c r="D100" s="41" t="s">
        <v>4</v>
      </c>
      <c r="E100" s="67" t="s">
        <v>5</v>
      </c>
      <c r="F100" s="97">
        <f>100+500</f>
        <v>600</v>
      </c>
      <c r="G100" s="93">
        <f>F100+SUM(H100:T100)</f>
        <v>600</v>
      </c>
      <c r="H100" s="68"/>
      <c r="I100" s="68"/>
      <c r="J100" s="69"/>
      <c r="K100" s="69"/>
      <c r="L100" s="68"/>
      <c r="M100" s="70"/>
      <c r="N100" s="68"/>
      <c r="O100" s="51"/>
      <c r="P100" s="68"/>
      <c r="Q100" s="68"/>
      <c r="R100" s="68"/>
      <c r="S100" s="68"/>
      <c r="T100" s="68"/>
    </row>
    <row r="101" spans="1:20" ht="25.5" hidden="1">
      <c r="A101" s="17"/>
      <c r="B101" s="17"/>
      <c r="C101" s="99" t="s">
        <v>270</v>
      </c>
      <c r="D101" s="99"/>
      <c r="E101" s="61" t="s">
        <v>122</v>
      </c>
      <c r="F101" s="79">
        <f>F102</f>
        <v>70</v>
      </c>
      <c r="G101" s="79">
        <f aca="true" t="shared" si="44" ref="G101:T102">G102</f>
        <v>70</v>
      </c>
      <c r="H101" s="68">
        <f t="shared" si="44"/>
        <v>0</v>
      </c>
      <c r="I101" s="68">
        <f t="shared" si="44"/>
        <v>0</v>
      </c>
      <c r="J101" s="68">
        <f t="shared" si="44"/>
        <v>0</v>
      </c>
      <c r="K101" s="68">
        <f t="shared" si="44"/>
        <v>0</v>
      </c>
      <c r="L101" s="68">
        <f t="shared" si="44"/>
        <v>0</v>
      </c>
      <c r="M101" s="70">
        <f t="shared" si="44"/>
        <v>0</v>
      </c>
      <c r="N101" s="68">
        <f t="shared" si="44"/>
        <v>0</v>
      </c>
      <c r="O101" s="51">
        <f t="shared" si="44"/>
        <v>0</v>
      </c>
      <c r="P101" s="68">
        <f t="shared" si="44"/>
        <v>0</v>
      </c>
      <c r="Q101" s="68">
        <f t="shared" si="44"/>
        <v>0</v>
      </c>
      <c r="R101" s="68">
        <f t="shared" si="44"/>
        <v>0</v>
      </c>
      <c r="S101" s="68">
        <f t="shared" si="44"/>
        <v>0</v>
      </c>
      <c r="T101" s="68">
        <f t="shared" si="44"/>
        <v>0</v>
      </c>
    </row>
    <row r="102" spans="1:20" ht="38.25" hidden="1">
      <c r="A102" s="17"/>
      <c r="B102" s="17"/>
      <c r="C102" s="41" t="s">
        <v>271</v>
      </c>
      <c r="D102" s="41"/>
      <c r="E102" s="57" t="s">
        <v>272</v>
      </c>
      <c r="F102" s="79">
        <f>F103</f>
        <v>70</v>
      </c>
      <c r="G102" s="79">
        <f t="shared" si="44"/>
        <v>70</v>
      </c>
      <c r="H102" s="68">
        <f t="shared" si="44"/>
        <v>0</v>
      </c>
      <c r="I102" s="68">
        <f t="shared" si="44"/>
        <v>0</v>
      </c>
      <c r="J102" s="68">
        <f t="shared" si="44"/>
        <v>0</v>
      </c>
      <c r="K102" s="68">
        <f t="shared" si="44"/>
        <v>0</v>
      </c>
      <c r="L102" s="68">
        <f t="shared" si="44"/>
        <v>0</v>
      </c>
      <c r="M102" s="70">
        <f t="shared" si="44"/>
        <v>0</v>
      </c>
      <c r="N102" s="68">
        <f t="shared" si="44"/>
        <v>0</v>
      </c>
      <c r="O102" s="51">
        <f t="shared" si="44"/>
        <v>0</v>
      </c>
      <c r="P102" s="68">
        <f t="shared" si="44"/>
        <v>0</v>
      </c>
      <c r="Q102" s="68">
        <f t="shared" si="44"/>
        <v>0</v>
      </c>
      <c r="R102" s="68">
        <f t="shared" si="44"/>
        <v>0</v>
      </c>
      <c r="S102" s="68">
        <f t="shared" si="44"/>
        <v>0</v>
      </c>
      <c r="T102" s="68">
        <f t="shared" si="44"/>
        <v>0</v>
      </c>
    </row>
    <row r="103" spans="1:20" ht="25.5" hidden="1">
      <c r="A103" s="17"/>
      <c r="B103" s="17"/>
      <c r="C103" s="66"/>
      <c r="D103" s="41" t="s">
        <v>11</v>
      </c>
      <c r="E103" s="67" t="s">
        <v>12</v>
      </c>
      <c r="F103" s="79">
        <v>70</v>
      </c>
      <c r="G103" s="93">
        <f>F103+SUM(H103:T103)</f>
        <v>70</v>
      </c>
      <c r="H103" s="68"/>
      <c r="I103" s="68"/>
      <c r="J103" s="69"/>
      <c r="K103" s="69"/>
      <c r="L103" s="68"/>
      <c r="M103" s="70"/>
      <c r="N103" s="68"/>
      <c r="O103" s="51"/>
      <c r="P103" s="68"/>
      <c r="Q103" s="68"/>
      <c r="R103" s="68"/>
      <c r="S103" s="68"/>
      <c r="T103" s="68"/>
    </row>
    <row r="104" spans="1:20" ht="25.5" hidden="1">
      <c r="A104" s="17"/>
      <c r="B104" s="17"/>
      <c r="C104" s="63" t="s">
        <v>425</v>
      </c>
      <c r="D104" s="11"/>
      <c r="E104" s="84" t="s">
        <v>143</v>
      </c>
      <c r="F104" s="95">
        <f>F105+F108+F111+F113</f>
        <v>4324.8</v>
      </c>
      <c r="G104" s="95">
        <f>G105+G108+G111+G113</f>
        <v>13450.957</v>
      </c>
      <c r="H104" s="95">
        <f aca="true" t="shared" si="45" ref="H104:T104">H105+H108+H111+H113</f>
        <v>17.64</v>
      </c>
      <c r="I104" s="95">
        <f t="shared" si="45"/>
        <v>1216.888</v>
      </c>
      <c r="J104" s="95">
        <f t="shared" si="45"/>
        <v>7872.84</v>
      </c>
      <c r="K104" s="95">
        <f t="shared" si="45"/>
        <v>0</v>
      </c>
      <c r="L104" s="95">
        <f t="shared" si="45"/>
        <v>33.8</v>
      </c>
      <c r="M104" s="95">
        <f t="shared" si="45"/>
        <v>8.989</v>
      </c>
      <c r="N104" s="95">
        <f t="shared" si="45"/>
        <v>0</v>
      </c>
      <c r="O104" s="184">
        <f t="shared" si="45"/>
        <v>0</v>
      </c>
      <c r="P104" s="95">
        <f t="shared" si="45"/>
        <v>-24</v>
      </c>
      <c r="Q104" s="95">
        <f t="shared" si="45"/>
        <v>0</v>
      </c>
      <c r="R104" s="95">
        <f>R105+R108+R111+R113</f>
        <v>0</v>
      </c>
      <c r="S104" s="95">
        <f>S105+S108+S111+S113</f>
        <v>0</v>
      </c>
      <c r="T104" s="95">
        <f t="shared" si="45"/>
        <v>0</v>
      </c>
    </row>
    <row r="105" spans="1:20" ht="38.25" hidden="1">
      <c r="A105" s="17"/>
      <c r="B105" s="17"/>
      <c r="C105" s="66" t="s">
        <v>426</v>
      </c>
      <c r="D105" s="41"/>
      <c r="E105" s="57" t="s">
        <v>479</v>
      </c>
      <c r="F105" s="79">
        <f>F107</f>
        <v>3735.6</v>
      </c>
      <c r="G105" s="79">
        <f>G107+G106</f>
        <v>12885.757</v>
      </c>
      <c r="H105" s="79">
        <f aca="true" t="shared" si="46" ref="H105:N105">H107+H106</f>
        <v>17.64</v>
      </c>
      <c r="I105" s="79">
        <f t="shared" si="46"/>
        <v>1216.888</v>
      </c>
      <c r="J105" s="79">
        <f t="shared" si="46"/>
        <v>7872.84</v>
      </c>
      <c r="K105" s="79">
        <f t="shared" si="46"/>
        <v>0</v>
      </c>
      <c r="L105" s="79">
        <f t="shared" si="46"/>
        <v>33.8</v>
      </c>
      <c r="M105" s="96">
        <f t="shared" si="46"/>
        <v>8.989</v>
      </c>
      <c r="N105" s="79">
        <f t="shared" si="46"/>
        <v>0</v>
      </c>
      <c r="O105" s="51">
        <f>O107</f>
        <v>0</v>
      </c>
      <c r="P105" s="68">
        <f>P107</f>
        <v>0</v>
      </c>
      <c r="Q105" s="68">
        <f>Q107</f>
        <v>0</v>
      </c>
      <c r="R105" s="79">
        <f>R107+R106</f>
        <v>0</v>
      </c>
      <c r="S105" s="79">
        <f>S107+S106</f>
        <v>0</v>
      </c>
      <c r="T105" s="68">
        <f>T107</f>
        <v>0</v>
      </c>
    </row>
    <row r="106" spans="1:20" ht="25.5" hidden="1">
      <c r="A106" s="17"/>
      <c r="B106" s="17"/>
      <c r="C106" s="66"/>
      <c r="D106" s="41" t="s">
        <v>3</v>
      </c>
      <c r="E106" s="67" t="s">
        <v>95</v>
      </c>
      <c r="F106" s="79"/>
      <c r="G106" s="93">
        <f>F106+SUM(H106:T106)</f>
        <v>0</v>
      </c>
      <c r="H106" s="68"/>
      <c r="I106" s="68"/>
      <c r="J106" s="68"/>
      <c r="K106" s="68"/>
      <c r="L106" s="68"/>
      <c r="M106" s="70"/>
      <c r="N106" s="68"/>
      <c r="O106" s="51"/>
      <c r="P106" s="68"/>
      <c r="Q106" s="68"/>
      <c r="R106" s="68"/>
      <c r="S106" s="68"/>
      <c r="T106" s="68"/>
    </row>
    <row r="107" spans="1:20" ht="12.75" hidden="1">
      <c r="A107" s="17"/>
      <c r="B107" s="17"/>
      <c r="C107" s="56"/>
      <c r="D107" s="41" t="s">
        <v>4</v>
      </c>
      <c r="E107" s="67" t="s">
        <v>5</v>
      </c>
      <c r="F107" s="79">
        <v>3735.6</v>
      </c>
      <c r="G107" s="93">
        <f>F107+SUM(H107:T107)</f>
        <v>12885.757</v>
      </c>
      <c r="H107" s="68">
        <v>17.64</v>
      </c>
      <c r="I107" s="68">
        <f>1143.388+73.5</f>
        <v>1216.888</v>
      </c>
      <c r="J107" s="68">
        <v>7872.84</v>
      </c>
      <c r="K107" s="68"/>
      <c r="L107" s="68">
        <v>33.8</v>
      </c>
      <c r="M107" s="70">
        <f>8.989</f>
        <v>8.989</v>
      </c>
      <c r="N107" s="68"/>
      <c r="O107" s="51"/>
      <c r="P107" s="68"/>
      <c r="Q107" s="68"/>
      <c r="R107" s="68"/>
      <c r="S107" s="68"/>
      <c r="T107" s="68"/>
    </row>
    <row r="108" spans="1:20" ht="38.25" hidden="1">
      <c r="A108" s="17"/>
      <c r="B108" s="17"/>
      <c r="C108" s="66" t="s">
        <v>427</v>
      </c>
      <c r="D108" s="56"/>
      <c r="E108" s="83" t="s">
        <v>100</v>
      </c>
      <c r="F108" s="79">
        <f>F109+F110</f>
        <v>195</v>
      </c>
      <c r="G108" s="79">
        <f aca="true" t="shared" si="47" ref="G108:T108">G109+G110</f>
        <v>171</v>
      </c>
      <c r="H108" s="68">
        <f t="shared" si="47"/>
        <v>0</v>
      </c>
      <c r="I108" s="68">
        <f t="shared" si="47"/>
        <v>0</v>
      </c>
      <c r="J108" s="68">
        <f t="shared" si="47"/>
        <v>0</v>
      </c>
      <c r="K108" s="68">
        <f t="shared" si="47"/>
        <v>0</v>
      </c>
      <c r="L108" s="68">
        <f t="shared" si="47"/>
        <v>0</v>
      </c>
      <c r="M108" s="70">
        <f t="shared" si="47"/>
        <v>0</v>
      </c>
      <c r="N108" s="68">
        <f t="shared" si="47"/>
        <v>0</v>
      </c>
      <c r="O108" s="51">
        <f t="shared" si="47"/>
        <v>0</v>
      </c>
      <c r="P108" s="68">
        <f t="shared" si="47"/>
        <v>-24</v>
      </c>
      <c r="Q108" s="68">
        <f t="shared" si="47"/>
        <v>0</v>
      </c>
      <c r="R108" s="68">
        <f>R109+R110</f>
        <v>0</v>
      </c>
      <c r="S108" s="68">
        <f>S109+S110</f>
        <v>0</v>
      </c>
      <c r="T108" s="68">
        <f t="shared" si="47"/>
        <v>0</v>
      </c>
    </row>
    <row r="109" spans="1:20" ht="12.75" hidden="1">
      <c r="A109" s="17"/>
      <c r="B109" s="17"/>
      <c r="C109" s="66"/>
      <c r="D109" s="41" t="s">
        <v>6</v>
      </c>
      <c r="E109" s="67" t="s">
        <v>7</v>
      </c>
      <c r="F109" s="79">
        <v>150</v>
      </c>
      <c r="G109" s="93">
        <f>F109+SUM(H109:T109)</f>
        <v>150</v>
      </c>
      <c r="H109" s="68"/>
      <c r="I109" s="68"/>
      <c r="J109" s="68"/>
      <c r="K109" s="68"/>
      <c r="L109" s="68"/>
      <c r="M109" s="70"/>
      <c r="N109" s="68"/>
      <c r="O109" s="51"/>
      <c r="P109" s="68"/>
      <c r="Q109" s="68"/>
      <c r="R109" s="68"/>
      <c r="S109" s="68"/>
      <c r="T109" s="68"/>
    </row>
    <row r="110" spans="1:20" ht="12.75" hidden="1">
      <c r="A110" s="17"/>
      <c r="B110" s="17"/>
      <c r="C110" s="66"/>
      <c r="D110" s="41" t="s">
        <v>4</v>
      </c>
      <c r="E110" s="67" t="s">
        <v>5</v>
      </c>
      <c r="F110" s="79">
        <v>45</v>
      </c>
      <c r="G110" s="93">
        <f>F110+SUM(H110:T110)</f>
        <v>21</v>
      </c>
      <c r="H110" s="68"/>
      <c r="I110" s="68"/>
      <c r="J110" s="68"/>
      <c r="K110" s="68"/>
      <c r="L110" s="68"/>
      <c r="M110" s="70"/>
      <c r="N110" s="68"/>
      <c r="O110" s="51"/>
      <c r="P110" s="68">
        <f>-24</f>
        <v>-24</v>
      </c>
      <c r="Q110" s="68"/>
      <c r="R110" s="68"/>
      <c r="S110" s="68"/>
      <c r="T110" s="68"/>
    </row>
    <row r="111" spans="1:20" ht="12.75" hidden="1">
      <c r="A111" s="17"/>
      <c r="B111" s="17"/>
      <c r="C111" s="66" t="s">
        <v>428</v>
      </c>
      <c r="D111" s="41"/>
      <c r="E111" s="105" t="s">
        <v>96</v>
      </c>
      <c r="F111" s="79">
        <f>F112</f>
        <v>85</v>
      </c>
      <c r="G111" s="79">
        <f aca="true" t="shared" si="48" ref="G111:T111">G112</f>
        <v>85</v>
      </c>
      <c r="H111" s="68">
        <f t="shared" si="48"/>
        <v>0</v>
      </c>
      <c r="I111" s="68">
        <f t="shared" si="48"/>
        <v>0</v>
      </c>
      <c r="J111" s="68">
        <f t="shared" si="48"/>
        <v>0</v>
      </c>
      <c r="K111" s="68">
        <f t="shared" si="48"/>
        <v>0</v>
      </c>
      <c r="L111" s="68">
        <f t="shared" si="48"/>
        <v>0</v>
      </c>
      <c r="M111" s="70">
        <f t="shared" si="48"/>
        <v>0</v>
      </c>
      <c r="N111" s="68">
        <f t="shared" si="48"/>
        <v>0</v>
      </c>
      <c r="O111" s="51">
        <f t="shared" si="48"/>
        <v>0</v>
      </c>
      <c r="P111" s="68">
        <f t="shared" si="48"/>
        <v>0</v>
      </c>
      <c r="Q111" s="68">
        <f t="shared" si="48"/>
        <v>0</v>
      </c>
      <c r="R111" s="68">
        <f t="shared" si="48"/>
        <v>0</v>
      </c>
      <c r="S111" s="68">
        <f t="shared" si="48"/>
        <v>0</v>
      </c>
      <c r="T111" s="68">
        <f t="shared" si="48"/>
        <v>0</v>
      </c>
    </row>
    <row r="112" spans="1:20" ht="25.5" hidden="1">
      <c r="A112" s="17"/>
      <c r="B112" s="17"/>
      <c r="C112" s="66"/>
      <c r="D112" s="41" t="s">
        <v>3</v>
      </c>
      <c r="E112" s="67" t="s">
        <v>95</v>
      </c>
      <c r="F112" s="79">
        <v>85</v>
      </c>
      <c r="G112" s="93">
        <f>F112+SUM(H112:T112)</f>
        <v>85</v>
      </c>
      <c r="H112" s="68"/>
      <c r="I112" s="68"/>
      <c r="J112" s="68"/>
      <c r="K112" s="68"/>
      <c r="L112" s="68"/>
      <c r="M112" s="70"/>
      <c r="N112" s="68"/>
      <c r="O112" s="51"/>
      <c r="P112" s="68"/>
      <c r="Q112" s="68"/>
      <c r="R112" s="68"/>
      <c r="S112" s="68"/>
      <c r="T112" s="68"/>
    </row>
    <row r="113" spans="1:20" ht="25.5" hidden="1">
      <c r="A113" s="17"/>
      <c r="B113" s="17"/>
      <c r="C113" s="86" t="s">
        <v>429</v>
      </c>
      <c r="D113" s="56"/>
      <c r="E113" s="105" t="s">
        <v>105</v>
      </c>
      <c r="F113" s="79">
        <f>F114</f>
        <v>309.2</v>
      </c>
      <c r="G113" s="79">
        <f aca="true" t="shared" si="49" ref="G113:T113">G114</f>
        <v>309.2</v>
      </c>
      <c r="H113" s="79">
        <f t="shared" si="49"/>
        <v>0</v>
      </c>
      <c r="I113" s="79">
        <f t="shared" si="49"/>
        <v>0</v>
      </c>
      <c r="J113" s="79">
        <f t="shared" si="49"/>
        <v>0</v>
      </c>
      <c r="K113" s="79">
        <f t="shared" si="49"/>
        <v>0</v>
      </c>
      <c r="L113" s="79">
        <f t="shared" si="49"/>
        <v>0</v>
      </c>
      <c r="M113" s="96">
        <f t="shared" si="49"/>
        <v>0</v>
      </c>
      <c r="N113" s="79">
        <f t="shared" si="49"/>
        <v>0</v>
      </c>
      <c r="O113" s="115">
        <f t="shared" si="49"/>
        <v>0</v>
      </c>
      <c r="P113" s="79">
        <f t="shared" si="49"/>
        <v>0</v>
      </c>
      <c r="Q113" s="79">
        <f t="shared" si="49"/>
        <v>0</v>
      </c>
      <c r="R113" s="79">
        <f t="shared" si="49"/>
        <v>0</v>
      </c>
      <c r="S113" s="79">
        <f t="shared" si="49"/>
        <v>0</v>
      </c>
      <c r="T113" s="79">
        <f t="shared" si="49"/>
        <v>0</v>
      </c>
    </row>
    <row r="114" spans="1:20" ht="12.75" hidden="1">
      <c r="A114" s="17"/>
      <c r="B114" s="17"/>
      <c r="C114" s="66"/>
      <c r="D114" s="41" t="s">
        <v>6</v>
      </c>
      <c r="E114" s="67" t="s">
        <v>7</v>
      </c>
      <c r="F114" s="79">
        <v>309.2</v>
      </c>
      <c r="G114" s="93">
        <f>F114+SUM(H114:T114)</f>
        <v>309.2</v>
      </c>
      <c r="H114" s="68"/>
      <c r="I114" s="68"/>
      <c r="J114" s="68"/>
      <c r="K114" s="68"/>
      <c r="L114" s="68"/>
      <c r="M114" s="70"/>
      <c r="N114" s="68"/>
      <c r="O114" s="51"/>
      <c r="P114" s="68"/>
      <c r="Q114" s="68"/>
      <c r="R114" s="68"/>
      <c r="S114" s="68"/>
      <c r="T114" s="68"/>
    </row>
    <row r="115" spans="1:20" s="25" customFormat="1" ht="24">
      <c r="A115" s="17"/>
      <c r="B115" s="5" t="s">
        <v>40</v>
      </c>
      <c r="C115" s="18"/>
      <c r="D115" s="17"/>
      <c r="E115" s="20" t="s">
        <v>41</v>
      </c>
      <c r="F115" s="119">
        <f>F116+F135+F141</f>
        <v>1338.9</v>
      </c>
      <c r="G115" s="119">
        <f aca="true" t="shared" si="50" ref="G115:T115">G116+G135+G141</f>
        <v>1317.9</v>
      </c>
      <c r="H115" s="119">
        <f t="shared" si="50"/>
        <v>0</v>
      </c>
      <c r="I115" s="119">
        <f t="shared" si="50"/>
        <v>0</v>
      </c>
      <c r="J115" s="119">
        <f t="shared" si="50"/>
        <v>0</v>
      </c>
      <c r="K115" s="119">
        <f t="shared" si="50"/>
        <v>0</v>
      </c>
      <c r="L115" s="119">
        <f t="shared" si="50"/>
        <v>0</v>
      </c>
      <c r="M115" s="121">
        <f t="shared" si="50"/>
        <v>96</v>
      </c>
      <c r="N115" s="119">
        <f t="shared" si="50"/>
        <v>0</v>
      </c>
      <c r="O115" s="185">
        <f t="shared" si="50"/>
        <v>0</v>
      </c>
      <c r="P115" s="119">
        <f t="shared" si="50"/>
        <v>-21</v>
      </c>
      <c r="Q115" s="119">
        <f t="shared" si="50"/>
        <v>0</v>
      </c>
      <c r="R115" s="119">
        <f>R116+R135+R141</f>
        <v>0</v>
      </c>
      <c r="S115" s="119">
        <f>S116+S135+S141</f>
        <v>-96</v>
      </c>
      <c r="T115" s="119">
        <f t="shared" si="50"/>
        <v>0</v>
      </c>
    </row>
    <row r="116" spans="1:20" s="25" customFormat="1" ht="36">
      <c r="A116" s="17"/>
      <c r="B116" s="5" t="s">
        <v>42</v>
      </c>
      <c r="C116" s="18"/>
      <c r="D116" s="17"/>
      <c r="E116" s="20" t="s">
        <v>43</v>
      </c>
      <c r="F116" s="119">
        <f>F117</f>
        <v>1338.9</v>
      </c>
      <c r="G116" s="119">
        <f aca="true" t="shared" si="51" ref="G116:T116">G117</f>
        <v>1302.9</v>
      </c>
      <c r="H116" s="119">
        <f t="shared" si="51"/>
        <v>0</v>
      </c>
      <c r="I116" s="119">
        <f t="shared" si="51"/>
        <v>0</v>
      </c>
      <c r="J116" s="119">
        <f t="shared" si="51"/>
        <v>0</v>
      </c>
      <c r="K116" s="119">
        <f t="shared" si="51"/>
        <v>0</v>
      </c>
      <c r="L116" s="119">
        <f t="shared" si="51"/>
        <v>0</v>
      </c>
      <c r="M116" s="121">
        <f t="shared" si="51"/>
        <v>61</v>
      </c>
      <c r="N116" s="119">
        <f t="shared" si="51"/>
        <v>0</v>
      </c>
      <c r="O116" s="185">
        <f t="shared" si="51"/>
        <v>0</v>
      </c>
      <c r="P116" s="119">
        <f t="shared" si="51"/>
        <v>-1</v>
      </c>
      <c r="Q116" s="119">
        <f t="shared" si="51"/>
        <v>0</v>
      </c>
      <c r="R116" s="119">
        <f t="shared" si="51"/>
        <v>0</v>
      </c>
      <c r="S116" s="119">
        <f t="shared" si="51"/>
        <v>-96</v>
      </c>
      <c r="T116" s="119">
        <f t="shared" si="51"/>
        <v>0</v>
      </c>
    </row>
    <row r="117" spans="1:20" s="25" customFormat="1" ht="38.25">
      <c r="A117" s="17"/>
      <c r="B117" s="5"/>
      <c r="C117" s="63" t="s">
        <v>200</v>
      </c>
      <c r="D117" s="11"/>
      <c r="E117" s="60" t="s">
        <v>114</v>
      </c>
      <c r="F117" s="95">
        <f>F118+F129</f>
        <v>1338.9</v>
      </c>
      <c r="G117" s="95">
        <f aca="true" t="shared" si="52" ref="G117:T117">G118+G129</f>
        <v>1302.9</v>
      </c>
      <c r="H117" s="95">
        <f t="shared" si="52"/>
        <v>0</v>
      </c>
      <c r="I117" s="95">
        <f t="shared" si="52"/>
        <v>0</v>
      </c>
      <c r="J117" s="95">
        <f t="shared" si="52"/>
        <v>0</v>
      </c>
      <c r="K117" s="95">
        <f t="shared" si="52"/>
        <v>0</v>
      </c>
      <c r="L117" s="95">
        <f t="shared" si="52"/>
        <v>0</v>
      </c>
      <c r="M117" s="131">
        <f t="shared" si="52"/>
        <v>61</v>
      </c>
      <c r="N117" s="95">
        <f t="shared" si="52"/>
        <v>0</v>
      </c>
      <c r="O117" s="184">
        <f t="shared" si="52"/>
        <v>0</v>
      </c>
      <c r="P117" s="95">
        <f t="shared" si="52"/>
        <v>-1</v>
      </c>
      <c r="Q117" s="95">
        <f t="shared" si="52"/>
        <v>0</v>
      </c>
      <c r="R117" s="95">
        <f>R118+R129</f>
        <v>0</v>
      </c>
      <c r="S117" s="95">
        <f>S118+S129</f>
        <v>-96</v>
      </c>
      <c r="T117" s="95">
        <f t="shared" si="52"/>
        <v>0</v>
      </c>
    </row>
    <row r="118" spans="1:20" s="25" customFormat="1" ht="51">
      <c r="A118" s="17"/>
      <c r="B118" s="5"/>
      <c r="C118" s="82" t="s">
        <v>201</v>
      </c>
      <c r="D118" s="41"/>
      <c r="E118" s="61" t="s">
        <v>515</v>
      </c>
      <c r="F118" s="79">
        <f>F119+F126</f>
        <v>1303.9</v>
      </c>
      <c r="G118" s="79">
        <f>G119+G126</f>
        <v>1302.9</v>
      </c>
      <c r="H118" s="68">
        <f aca="true" t="shared" si="53" ref="H118:T118">H119+H126</f>
        <v>0</v>
      </c>
      <c r="I118" s="68">
        <f t="shared" si="53"/>
        <v>0</v>
      </c>
      <c r="J118" s="68">
        <f t="shared" si="53"/>
        <v>0</v>
      </c>
      <c r="K118" s="68">
        <f t="shared" si="53"/>
        <v>0</v>
      </c>
      <c r="L118" s="68">
        <f t="shared" si="53"/>
        <v>0</v>
      </c>
      <c r="M118" s="70">
        <f t="shared" si="53"/>
        <v>96</v>
      </c>
      <c r="N118" s="68">
        <f t="shared" si="53"/>
        <v>0</v>
      </c>
      <c r="O118" s="51">
        <f t="shared" si="53"/>
        <v>0</v>
      </c>
      <c r="P118" s="68">
        <f t="shared" si="53"/>
        <v>-1</v>
      </c>
      <c r="Q118" s="68">
        <f t="shared" si="53"/>
        <v>0</v>
      </c>
      <c r="R118" s="68">
        <f>R119+R126</f>
        <v>0</v>
      </c>
      <c r="S118" s="68">
        <f>S119+S126</f>
        <v>-96</v>
      </c>
      <c r="T118" s="68">
        <f t="shared" si="53"/>
        <v>0</v>
      </c>
    </row>
    <row r="119" spans="1:20" s="25" customFormat="1" ht="51">
      <c r="A119" s="17"/>
      <c r="B119" s="5"/>
      <c r="C119" s="66" t="s">
        <v>202</v>
      </c>
      <c r="D119" s="41"/>
      <c r="E119" s="57" t="s">
        <v>203</v>
      </c>
      <c r="F119" s="79">
        <f>F120+F122+F124</f>
        <v>1303.9</v>
      </c>
      <c r="G119" s="79">
        <f>G120+G122+G124</f>
        <v>1302.9</v>
      </c>
      <c r="H119" s="68">
        <f aca="true" t="shared" si="54" ref="H119:T119">H120+H122+H124</f>
        <v>0</v>
      </c>
      <c r="I119" s="68">
        <f t="shared" si="54"/>
        <v>0</v>
      </c>
      <c r="J119" s="68">
        <f t="shared" si="54"/>
        <v>0</v>
      </c>
      <c r="K119" s="68">
        <f t="shared" si="54"/>
        <v>0</v>
      </c>
      <c r="L119" s="68">
        <f t="shared" si="54"/>
        <v>0</v>
      </c>
      <c r="M119" s="70">
        <f t="shared" si="54"/>
        <v>96</v>
      </c>
      <c r="N119" s="68">
        <f t="shared" si="54"/>
        <v>0</v>
      </c>
      <c r="O119" s="51">
        <f t="shared" si="54"/>
        <v>0</v>
      </c>
      <c r="P119" s="68">
        <f t="shared" si="54"/>
        <v>-1</v>
      </c>
      <c r="Q119" s="68">
        <f t="shared" si="54"/>
        <v>0</v>
      </c>
      <c r="R119" s="68">
        <f>R120+R122+R124</f>
        <v>0</v>
      </c>
      <c r="S119" s="68">
        <f>S120+S122+S124</f>
        <v>-96</v>
      </c>
      <c r="T119" s="68">
        <f t="shared" si="54"/>
        <v>0</v>
      </c>
    </row>
    <row r="120" spans="1:20" s="25" customFormat="1" ht="38.25" hidden="1">
      <c r="A120" s="17"/>
      <c r="B120" s="5"/>
      <c r="C120" s="66" t="s">
        <v>204</v>
      </c>
      <c r="D120" s="41"/>
      <c r="E120" s="57" t="s">
        <v>205</v>
      </c>
      <c r="F120" s="79">
        <f>F121</f>
        <v>3.9</v>
      </c>
      <c r="G120" s="79">
        <f aca="true" t="shared" si="55" ref="G120:T120">G121</f>
        <v>2.9</v>
      </c>
      <c r="H120" s="68">
        <f t="shared" si="55"/>
        <v>0</v>
      </c>
      <c r="I120" s="68">
        <f t="shared" si="55"/>
        <v>0</v>
      </c>
      <c r="J120" s="68">
        <f t="shared" si="55"/>
        <v>0</v>
      </c>
      <c r="K120" s="68">
        <f t="shared" si="55"/>
        <v>0</v>
      </c>
      <c r="L120" s="68">
        <f t="shared" si="55"/>
        <v>0</v>
      </c>
      <c r="M120" s="70">
        <f t="shared" si="55"/>
        <v>0</v>
      </c>
      <c r="N120" s="68">
        <f t="shared" si="55"/>
        <v>0</v>
      </c>
      <c r="O120" s="51">
        <f t="shared" si="55"/>
        <v>0</v>
      </c>
      <c r="P120" s="68">
        <f t="shared" si="55"/>
        <v>-1</v>
      </c>
      <c r="Q120" s="68">
        <f t="shared" si="55"/>
        <v>0</v>
      </c>
      <c r="R120" s="68">
        <f t="shared" si="55"/>
        <v>0</v>
      </c>
      <c r="S120" s="68">
        <f t="shared" si="55"/>
        <v>0</v>
      </c>
      <c r="T120" s="68">
        <f t="shared" si="55"/>
        <v>0</v>
      </c>
    </row>
    <row r="121" spans="1:20" s="21" customFormat="1" ht="28.5" customHeight="1" hidden="1">
      <c r="A121" s="5"/>
      <c r="B121" s="17"/>
      <c r="C121" s="66"/>
      <c r="D121" s="41" t="s">
        <v>3</v>
      </c>
      <c r="E121" s="67" t="s">
        <v>95</v>
      </c>
      <c r="F121" s="79">
        <v>3.9</v>
      </c>
      <c r="G121" s="93">
        <f>F121+SUM(H121:T121)</f>
        <v>2.9</v>
      </c>
      <c r="H121" s="68"/>
      <c r="I121" s="68"/>
      <c r="J121" s="69"/>
      <c r="K121" s="69"/>
      <c r="L121" s="68"/>
      <c r="M121" s="70"/>
      <c r="N121" s="68"/>
      <c r="O121" s="51"/>
      <c r="P121" s="68">
        <v>-1</v>
      </c>
      <c r="Q121" s="68"/>
      <c r="R121" s="68"/>
      <c r="S121" s="68"/>
      <c r="T121" s="68"/>
    </row>
    <row r="122" spans="1:20" s="21" customFormat="1" ht="42.75" customHeight="1" hidden="1">
      <c r="A122" s="5"/>
      <c r="B122" s="17"/>
      <c r="C122" s="66" t="s">
        <v>206</v>
      </c>
      <c r="D122" s="41"/>
      <c r="E122" s="83" t="s">
        <v>207</v>
      </c>
      <c r="F122" s="79">
        <f>F123</f>
        <v>0</v>
      </c>
      <c r="G122" s="79">
        <f aca="true" t="shared" si="56" ref="G122:T122">G123</f>
        <v>0</v>
      </c>
      <c r="H122" s="68">
        <f t="shared" si="56"/>
        <v>0</v>
      </c>
      <c r="I122" s="68">
        <f t="shared" si="56"/>
        <v>0</v>
      </c>
      <c r="J122" s="68">
        <f t="shared" si="56"/>
        <v>0</v>
      </c>
      <c r="K122" s="68">
        <f t="shared" si="56"/>
        <v>0</v>
      </c>
      <c r="L122" s="68">
        <f t="shared" si="56"/>
        <v>0</v>
      </c>
      <c r="M122" s="70">
        <f t="shared" si="56"/>
        <v>0</v>
      </c>
      <c r="N122" s="68">
        <f t="shared" si="56"/>
        <v>0</v>
      </c>
      <c r="O122" s="51">
        <f t="shared" si="56"/>
        <v>0</v>
      </c>
      <c r="P122" s="68">
        <f t="shared" si="56"/>
        <v>0</v>
      </c>
      <c r="Q122" s="68">
        <f t="shared" si="56"/>
        <v>0</v>
      </c>
      <c r="R122" s="68">
        <f t="shared" si="56"/>
        <v>0</v>
      </c>
      <c r="S122" s="68">
        <f t="shared" si="56"/>
        <v>0</v>
      </c>
      <c r="T122" s="68">
        <f t="shared" si="56"/>
        <v>0</v>
      </c>
    </row>
    <row r="123" spans="1:20" s="21" customFormat="1" ht="36" customHeight="1" hidden="1">
      <c r="A123" s="17"/>
      <c r="B123" s="17"/>
      <c r="C123" s="66"/>
      <c r="D123" s="41" t="s">
        <v>3</v>
      </c>
      <c r="E123" s="67" t="s">
        <v>95</v>
      </c>
      <c r="F123" s="79"/>
      <c r="G123" s="93">
        <f>F123+SUM(H123:T123)</f>
        <v>0</v>
      </c>
      <c r="H123" s="68"/>
      <c r="I123" s="68"/>
      <c r="J123" s="69"/>
      <c r="K123" s="69"/>
      <c r="L123" s="68"/>
      <c r="M123" s="70"/>
      <c r="N123" s="68"/>
      <c r="O123" s="51"/>
      <c r="P123" s="68"/>
      <c r="Q123" s="68"/>
      <c r="R123" s="68"/>
      <c r="S123" s="68"/>
      <c r="T123" s="68"/>
    </row>
    <row r="124" spans="1:20" s="21" customFormat="1" ht="77.25" customHeight="1">
      <c r="A124" s="17"/>
      <c r="B124" s="17"/>
      <c r="C124" s="66" t="s">
        <v>492</v>
      </c>
      <c r="D124" s="41"/>
      <c r="E124" s="67" t="s">
        <v>493</v>
      </c>
      <c r="F124" s="79">
        <f>F125</f>
        <v>1300</v>
      </c>
      <c r="G124" s="79">
        <f aca="true" t="shared" si="57" ref="G124:T124">G125</f>
        <v>1300</v>
      </c>
      <c r="H124" s="68">
        <f t="shared" si="57"/>
        <v>0</v>
      </c>
      <c r="I124" s="68">
        <f t="shared" si="57"/>
        <v>0</v>
      </c>
      <c r="J124" s="68">
        <f t="shared" si="57"/>
        <v>0</v>
      </c>
      <c r="K124" s="68">
        <f t="shared" si="57"/>
        <v>0</v>
      </c>
      <c r="L124" s="68">
        <f t="shared" si="57"/>
        <v>0</v>
      </c>
      <c r="M124" s="70">
        <f t="shared" si="57"/>
        <v>96</v>
      </c>
      <c r="N124" s="68">
        <f t="shared" si="57"/>
        <v>0</v>
      </c>
      <c r="O124" s="51">
        <f t="shared" si="57"/>
        <v>0</v>
      </c>
      <c r="P124" s="68">
        <f t="shared" si="57"/>
        <v>0</v>
      </c>
      <c r="Q124" s="68">
        <f t="shared" si="57"/>
        <v>0</v>
      </c>
      <c r="R124" s="68">
        <f t="shared" si="57"/>
        <v>0</v>
      </c>
      <c r="S124" s="68">
        <f t="shared" si="57"/>
        <v>-96</v>
      </c>
      <c r="T124" s="68">
        <f t="shared" si="57"/>
        <v>0</v>
      </c>
    </row>
    <row r="125" spans="1:20" s="21" customFormat="1" ht="27.75" customHeight="1">
      <c r="A125" s="17"/>
      <c r="B125" s="17"/>
      <c r="C125" s="66"/>
      <c r="D125" s="41" t="s">
        <v>9</v>
      </c>
      <c r="E125" s="109" t="s">
        <v>37</v>
      </c>
      <c r="F125" s="79">
        <v>1300</v>
      </c>
      <c r="G125" s="93">
        <f>F125+SUM(H125:T125)</f>
        <v>1300</v>
      </c>
      <c r="H125" s="68"/>
      <c r="I125" s="68"/>
      <c r="J125" s="69"/>
      <c r="K125" s="69"/>
      <c r="L125" s="68"/>
      <c r="M125" s="70">
        <f>96</f>
        <v>96</v>
      </c>
      <c r="N125" s="68"/>
      <c r="O125" s="51"/>
      <c r="P125" s="68"/>
      <c r="Q125" s="68"/>
      <c r="R125" s="68"/>
      <c r="S125" s="68">
        <v>-96</v>
      </c>
      <c r="T125" s="68"/>
    </row>
    <row r="126" spans="1:20" s="21" customFormat="1" ht="27.75" customHeight="1" hidden="1">
      <c r="A126" s="17"/>
      <c r="B126" s="17"/>
      <c r="C126" s="66" t="s">
        <v>208</v>
      </c>
      <c r="D126" s="41"/>
      <c r="E126" s="109" t="s">
        <v>210</v>
      </c>
      <c r="F126" s="79">
        <f>F127</f>
        <v>0</v>
      </c>
      <c r="G126" s="79">
        <f aca="true" t="shared" si="58" ref="G126:T126">G127</f>
        <v>0</v>
      </c>
      <c r="H126" s="68">
        <f t="shared" si="58"/>
        <v>0</v>
      </c>
      <c r="I126" s="68">
        <f t="shared" si="58"/>
        <v>0</v>
      </c>
      <c r="J126" s="68">
        <f t="shared" si="58"/>
        <v>0</v>
      </c>
      <c r="K126" s="68">
        <f t="shared" si="58"/>
        <v>0</v>
      </c>
      <c r="L126" s="68">
        <f t="shared" si="58"/>
        <v>0</v>
      </c>
      <c r="M126" s="70">
        <f t="shared" si="58"/>
        <v>0</v>
      </c>
      <c r="N126" s="68">
        <f t="shared" si="58"/>
        <v>0</v>
      </c>
      <c r="O126" s="51">
        <f t="shared" si="58"/>
        <v>0</v>
      </c>
      <c r="P126" s="68">
        <f t="shared" si="58"/>
        <v>0</v>
      </c>
      <c r="Q126" s="68">
        <f t="shared" si="58"/>
        <v>0</v>
      </c>
      <c r="R126" s="68">
        <f t="shared" si="58"/>
        <v>0</v>
      </c>
      <c r="S126" s="68">
        <f t="shared" si="58"/>
        <v>0</v>
      </c>
      <c r="T126" s="68">
        <f t="shared" si="58"/>
        <v>0</v>
      </c>
    </row>
    <row r="127" spans="1:20" s="21" customFormat="1" ht="27.75" customHeight="1" hidden="1">
      <c r="A127" s="17"/>
      <c r="B127" s="17"/>
      <c r="C127" s="66" t="s">
        <v>209</v>
      </c>
      <c r="D127" s="41"/>
      <c r="E127" s="109" t="s">
        <v>211</v>
      </c>
      <c r="F127" s="79">
        <f>F128</f>
        <v>0</v>
      </c>
      <c r="G127" s="79">
        <f aca="true" t="shared" si="59" ref="G127:T127">G128</f>
        <v>0</v>
      </c>
      <c r="H127" s="68">
        <f t="shared" si="59"/>
        <v>0</v>
      </c>
      <c r="I127" s="68">
        <f t="shared" si="59"/>
        <v>0</v>
      </c>
      <c r="J127" s="68">
        <f t="shared" si="59"/>
        <v>0</v>
      </c>
      <c r="K127" s="68">
        <f t="shared" si="59"/>
        <v>0</v>
      </c>
      <c r="L127" s="68">
        <f t="shared" si="59"/>
        <v>0</v>
      </c>
      <c r="M127" s="70">
        <f t="shared" si="59"/>
        <v>0</v>
      </c>
      <c r="N127" s="68">
        <f t="shared" si="59"/>
        <v>0</v>
      </c>
      <c r="O127" s="51">
        <f t="shared" si="59"/>
        <v>0</v>
      </c>
      <c r="P127" s="68">
        <f t="shared" si="59"/>
        <v>0</v>
      </c>
      <c r="Q127" s="68">
        <f t="shared" si="59"/>
        <v>0</v>
      </c>
      <c r="R127" s="68">
        <f t="shared" si="59"/>
        <v>0</v>
      </c>
      <c r="S127" s="68">
        <f t="shared" si="59"/>
        <v>0</v>
      </c>
      <c r="T127" s="68">
        <f t="shared" si="59"/>
        <v>0</v>
      </c>
    </row>
    <row r="128" spans="1:20" s="21" customFormat="1" ht="27.75" customHeight="1" hidden="1">
      <c r="A128" s="17"/>
      <c r="B128" s="17"/>
      <c r="C128" s="66"/>
      <c r="D128" s="41" t="s">
        <v>3</v>
      </c>
      <c r="E128" s="67" t="s">
        <v>95</v>
      </c>
      <c r="F128" s="79"/>
      <c r="G128" s="93">
        <f>F128+SUM(H128:T128)</f>
        <v>0</v>
      </c>
      <c r="H128" s="68"/>
      <c r="I128" s="68"/>
      <c r="J128" s="69"/>
      <c r="K128" s="69"/>
      <c r="L128" s="68"/>
      <c r="M128" s="70"/>
      <c r="N128" s="68"/>
      <c r="O128" s="51"/>
      <c r="P128" s="68"/>
      <c r="Q128" s="68"/>
      <c r="R128" s="68"/>
      <c r="S128" s="68"/>
      <c r="T128" s="68"/>
    </row>
    <row r="129" spans="1:20" s="21" customFormat="1" ht="36" customHeight="1" hidden="1">
      <c r="A129" s="17"/>
      <c r="B129" s="17"/>
      <c r="C129" s="162" t="s">
        <v>495</v>
      </c>
      <c r="D129" s="136"/>
      <c r="E129" s="137" t="s">
        <v>494</v>
      </c>
      <c r="F129" s="79">
        <f>F130</f>
        <v>35</v>
      </c>
      <c r="G129" s="79">
        <f aca="true" t="shared" si="60" ref="G129:T129">G130</f>
        <v>0</v>
      </c>
      <c r="H129" s="79">
        <f t="shared" si="60"/>
        <v>0</v>
      </c>
      <c r="I129" s="79">
        <f t="shared" si="60"/>
        <v>0</v>
      </c>
      <c r="J129" s="79">
        <f t="shared" si="60"/>
        <v>0</v>
      </c>
      <c r="K129" s="79">
        <f t="shared" si="60"/>
        <v>0</v>
      </c>
      <c r="L129" s="79">
        <f t="shared" si="60"/>
        <v>0</v>
      </c>
      <c r="M129" s="96">
        <f t="shared" si="60"/>
        <v>-35</v>
      </c>
      <c r="N129" s="79">
        <f t="shared" si="60"/>
        <v>0</v>
      </c>
      <c r="O129" s="115">
        <f t="shared" si="60"/>
        <v>0</v>
      </c>
      <c r="P129" s="79">
        <f t="shared" si="60"/>
        <v>0</v>
      </c>
      <c r="Q129" s="79">
        <f t="shared" si="60"/>
        <v>0</v>
      </c>
      <c r="R129" s="79">
        <f t="shared" si="60"/>
        <v>0</v>
      </c>
      <c r="S129" s="79">
        <f t="shared" si="60"/>
        <v>0</v>
      </c>
      <c r="T129" s="79">
        <f t="shared" si="60"/>
        <v>0</v>
      </c>
    </row>
    <row r="130" spans="1:20" s="21" customFormat="1" ht="42" customHeight="1" hidden="1">
      <c r="A130" s="17"/>
      <c r="B130" s="17"/>
      <c r="C130" s="147" t="s">
        <v>496</v>
      </c>
      <c r="D130" s="107"/>
      <c r="E130" s="138" t="s">
        <v>517</v>
      </c>
      <c r="F130" s="79">
        <f>F131+F133</f>
        <v>35</v>
      </c>
      <c r="G130" s="79">
        <f aca="true" t="shared" si="61" ref="G130:T130">G131+G133</f>
        <v>0</v>
      </c>
      <c r="H130" s="79">
        <f t="shared" si="61"/>
        <v>0</v>
      </c>
      <c r="I130" s="79">
        <f t="shared" si="61"/>
        <v>0</v>
      </c>
      <c r="J130" s="79">
        <f t="shared" si="61"/>
        <v>0</v>
      </c>
      <c r="K130" s="79">
        <f t="shared" si="61"/>
        <v>0</v>
      </c>
      <c r="L130" s="79">
        <f t="shared" si="61"/>
        <v>0</v>
      </c>
      <c r="M130" s="96">
        <f t="shared" si="61"/>
        <v>-35</v>
      </c>
      <c r="N130" s="79">
        <f t="shared" si="61"/>
        <v>0</v>
      </c>
      <c r="O130" s="115">
        <f t="shared" si="61"/>
        <v>0</v>
      </c>
      <c r="P130" s="79">
        <f t="shared" si="61"/>
        <v>0</v>
      </c>
      <c r="Q130" s="79">
        <f t="shared" si="61"/>
        <v>0</v>
      </c>
      <c r="R130" s="79">
        <f>R131+R133</f>
        <v>0</v>
      </c>
      <c r="S130" s="79">
        <f>S131+S133</f>
        <v>0</v>
      </c>
      <c r="T130" s="79">
        <f t="shared" si="61"/>
        <v>0</v>
      </c>
    </row>
    <row r="131" spans="1:20" s="21" customFormat="1" ht="29.25" customHeight="1" hidden="1">
      <c r="A131" s="17"/>
      <c r="B131" s="17"/>
      <c r="C131" s="147" t="s">
        <v>497</v>
      </c>
      <c r="D131" s="107"/>
      <c r="E131" s="139" t="s">
        <v>211</v>
      </c>
      <c r="F131" s="79">
        <f>F132</f>
        <v>30</v>
      </c>
      <c r="G131" s="79">
        <f aca="true" t="shared" si="62" ref="G131:T131">G132</f>
        <v>0</v>
      </c>
      <c r="H131" s="79">
        <f t="shared" si="62"/>
        <v>0</v>
      </c>
      <c r="I131" s="79">
        <f t="shared" si="62"/>
        <v>0</v>
      </c>
      <c r="J131" s="79">
        <f t="shared" si="62"/>
        <v>0</v>
      </c>
      <c r="K131" s="79">
        <f t="shared" si="62"/>
        <v>0</v>
      </c>
      <c r="L131" s="79">
        <f t="shared" si="62"/>
        <v>0</v>
      </c>
      <c r="M131" s="96">
        <f t="shared" si="62"/>
        <v>-30</v>
      </c>
      <c r="N131" s="79">
        <f t="shared" si="62"/>
        <v>0</v>
      </c>
      <c r="O131" s="115">
        <f t="shared" si="62"/>
        <v>0</v>
      </c>
      <c r="P131" s="79">
        <f t="shared" si="62"/>
        <v>0</v>
      </c>
      <c r="Q131" s="79">
        <f t="shared" si="62"/>
        <v>0</v>
      </c>
      <c r="R131" s="79">
        <f t="shared" si="62"/>
        <v>0</v>
      </c>
      <c r="S131" s="79">
        <f t="shared" si="62"/>
        <v>0</v>
      </c>
      <c r="T131" s="79">
        <f t="shared" si="62"/>
        <v>0</v>
      </c>
    </row>
    <row r="132" spans="1:20" s="21" customFormat="1" ht="30.75" customHeight="1" hidden="1">
      <c r="A132" s="17"/>
      <c r="B132" s="17"/>
      <c r="C132" s="66"/>
      <c r="D132" s="41" t="s">
        <v>3</v>
      </c>
      <c r="E132" s="67" t="s">
        <v>95</v>
      </c>
      <c r="F132" s="79">
        <v>30</v>
      </c>
      <c r="G132" s="93">
        <f>F132+SUM(H132:T132)</f>
        <v>0</v>
      </c>
      <c r="H132" s="68"/>
      <c r="I132" s="68"/>
      <c r="J132" s="69"/>
      <c r="K132" s="69"/>
      <c r="L132" s="68"/>
      <c r="M132" s="70">
        <f>-30</f>
        <v>-30</v>
      </c>
      <c r="N132" s="68"/>
      <c r="O132" s="51"/>
      <c r="P132" s="68"/>
      <c r="Q132" s="68"/>
      <c r="R132" s="68"/>
      <c r="S132" s="68"/>
      <c r="T132" s="68"/>
    </row>
    <row r="133" spans="1:20" s="21" customFormat="1" ht="43.5" customHeight="1" hidden="1">
      <c r="A133" s="17"/>
      <c r="B133" s="17"/>
      <c r="C133" s="66" t="s">
        <v>498</v>
      </c>
      <c r="D133" s="41"/>
      <c r="E133" s="67" t="s">
        <v>499</v>
      </c>
      <c r="F133" s="79">
        <f>F134</f>
        <v>5</v>
      </c>
      <c r="G133" s="79">
        <f aca="true" t="shared" si="63" ref="G133:T133">G134</f>
        <v>0</v>
      </c>
      <c r="H133" s="79">
        <f t="shared" si="63"/>
        <v>0</v>
      </c>
      <c r="I133" s="79">
        <f t="shared" si="63"/>
        <v>0</v>
      </c>
      <c r="J133" s="79">
        <f t="shared" si="63"/>
        <v>0</v>
      </c>
      <c r="K133" s="79">
        <f t="shared" si="63"/>
        <v>0</v>
      </c>
      <c r="L133" s="79">
        <f t="shared" si="63"/>
        <v>0</v>
      </c>
      <c r="M133" s="96">
        <f t="shared" si="63"/>
        <v>-5</v>
      </c>
      <c r="N133" s="79">
        <f t="shared" si="63"/>
        <v>0</v>
      </c>
      <c r="O133" s="115">
        <f t="shared" si="63"/>
        <v>0</v>
      </c>
      <c r="P133" s="79">
        <f t="shared" si="63"/>
        <v>0</v>
      </c>
      <c r="Q133" s="79">
        <f t="shared" si="63"/>
        <v>0</v>
      </c>
      <c r="R133" s="79">
        <f t="shared" si="63"/>
        <v>0</v>
      </c>
      <c r="S133" s="79">
        <f t="shared" si="63"/>
        <v>0</v>
      </c>
      <c r="T133" s="79">
        <f t="shared" si="63"/>
        <v>0</v>
      </c>
    </row>
    <row r="134" spans="1:20" s="21" customFormat="1" ht="27.75" customHeight="1" hidden="1">
      <c r="A134" s="17"/>
      <c r="B134" s="17"/>
      <c r="C134" s="66"/>
      <c r="D134" s="41" t="s">
        <v>3</v>
      </c>
      <c r="E134" s="67" t="s">
        <v>95</v>
      </c>
      <c r="F134" s="79">
        <v>5</v>
      </c>
      <c r="G134" s="93">
        <f>F134+SUM(H134:T134)</f>
        <v>0</v>
      </c>
      <c r="H134" s="68"/>
      <c r="I134" s="68"/>
      <c r="J134" s="69"/>
      <c r="K134" s="69"/>
      <c r="L134" s="68"/>
      <c r="M134" s="70">
        <f>-5</f>
        <v>-5</v>
      </c>
      <c r="N134" s="68"/>
      <c r="O134" s="51"/>
      <c r="P134" s="68"/>
      <c r="Q134" s="68"/>
      <c r="R134" s="68"/>
      <c r="S134" s="68"/>
      <c r="T134" s="68"/>
    </row>
    <row r="135" spans="1:20" s="21" customFormat="1" ht="27.75" customHeight="1" hidden="1">
      <c r="A135" s="17"/>
      <c r="B135" s="5" t="s">
        <v>44</v>
      </c>
      <c r="C135" s="18"/>
      <c r="D135" s="17"/>
      <c r="E135" s="13" t="s">
        <v>45</v>
      </c>
      <c r="F135" s="95">
        <f>F136</f>
        <v>0</v>
      </c>
      <c r="G135" s="131">
        <f aca="true" t="shared" si="64" ref="G135:T136">G136</f>
        <v>0</v>
      </c>
      <c r="H135" s="95">
        <f t="shared" si="64"/>
        <v>0</v>
      </c>
      <c r="I135" s="95">
        <f t="shared" si="64"/>
        <v>0</v>
      </c>
      <c r="J135" s="95">
        <f t="shared" si="64"/>
        <v>0</v>
      </c>
      <c r="K135" s="95">
        <f t="shared" si="64"/>
        <v>0</v>
      </c>
      <c r="L135" s="95">
        <f t="shared" si="64"/>
        <v>0</v>
      </c>
      <c r="M135" s="131">
        <f t="shared" si="64"/>
        <v>0</v>
      </c>
      <c r="N135" s="95">
        <f t="shared" si="64"/>
        <v>0</v>
      </c>
      <c r="O135" s="184">
        <f t="shared" si="64"/>
        <v>0</v>
      </c>
      <c r="P135" s="95">
        <f t="shared" si="64"/>
        <v>0</v>
      </c>
      <c r="Q135" s="95">
        <f t="shared" si="64"/>
        <v>0</v>
      </c>
      <c r="R135" s="95">
        <f t="shared" si="64"/>
        <v>0</v>
      </c>
      <c r="S135" s="95">
        <f t="shared" si="64"/>
        <v>0</v>
      </c>
      <c r="T135" s="95">
        <f t="shared" si="64"/>
        <v>0</v>
      </c>
    </row>
    <row r="136" spans="1:20" s="21" customFormat="1" ht="48.75" customHeight="1" hidden="1">
      <c r="A136" s="17"/>
      <c r="B136" s="5"/>
      <c r="C136" s="63" t="s">
        <v>200</v>
      </c>
      <c r="D136" s="11"/>
      <c r="E136" s="60" t="s">
        <v>114</v>
      </c>
      <c r="F136" s="95">
        <f>F137</f>
        <v>0</v>
      </c>
      <c r="G136" s="95">
        <f t="shared" si="64"/>
        <v>0</v>
      </c>
      <c r="H136" s="95">
        <f t="shared" si="64"/>
        <v>0</v>
      </c>
      <c r="I136" s="95">
        <f t="shared" si="64"/>
        <v>0</v>
      </c>
      <c r="J136" s="95">
        <f t="shared" si="64"/>
        <v>0</v>
      </c>
      <c r="K136" s="95">
        <f t="shared" si="64"/>
        <v>0</v>
      </c>
      <c r="L136" s="95">
        <f t="shared" si="64"/>
        <v>0</v>
      </c>
      <c r="M136" s="131">
        <f t="shared" si="64"/>
        <v>0</v>
      </c>
      <c r="N136" s="95">
        <f t="shared" si="64"/>
        <v>0</v>
      </c>
      <c r="O136" s="184">
        <f t="shared" si="64"/>
        <v>0</v>
      </c>
      <c r="P136" s="95">
        <f t="shared" si="64"/>
        <v>0</v>
      </c>
      <c r="Q136" s="95">
        <f t="shared" si="64"/>
        <v>0</v>
      </c>
      <c r="R136" s="95">
        <f t="shared" si="64"/>
        <v>0</v>
      </c>
      <c r="S136" s="95">
        <f t="shared" si="64"/>
        <v>0</v>
      </c>
      <c r="T136" s="95">
        <f t="shared" si="64"/>
        <v>0</v>
      </c>
    </row>
    <row r="137" spans="1:20" s="21" customFormat="1" ht="27.75" customHeight="1" hidden="1">
      <c r="A137" s="17"/>
      <c r="B137" s="17"/>
      <c r="C137" s="82" t="s">
        <v>214</v>
      </c>
      <c r="D137" s="41"/>
      <c r="E137" s="61" t="s">
        <v>115</v>
      </c>
      <c r="F137" s="79">
        <f>F138</f>
        <v>0</v>
      </c>
      <c r="G137" s="79">
        <f aca="true" t="shared" si="65" ref="G137:T137">G138</f>
        <v>0</v>
      </c>
      <c r="H137" s="68">
        <f t="shared" si="65"/>
        <v>0</v>
      </c>
      <c r="I137" s="68">
        <f t="shared" si="65"/>
        <v>0</v>
      </c>
      <c r="J137" s="68">
        <f t="shared" si="65"/>
        <v>0</v>
      </c>
      <c r="K137" s="68">
        <f t="shared" si="65"/>
        <v>0</v>
      </c>
      <c r="L137" s="68">
        <f t="shared" si="65"/>
        <v>0</v>
      </c>
      <c r="M137" s="70">
        <f t="shared" si="65"/>
        <v>0</v>
      </c>
      <c r="N137" s="68">
        <f t="shared" si="65"/>
        <v>0</v>
      </c>
      <c r="O137" s="51">
        <f t="shared" si="65"/>
        <v>0</v>
      </c>
      <c r="P137" s="68">
        <f t="shared" si="65"/>
        <v>0</v>
      </c>
      <c r="Q137" s="68">
        <f t="shared" si="65"/>
        <v>0</v>
      </c>
      <c r="R137" s="68">
        <f t="shared" si="65"/>
        <v>0</v>
      </c>
      <c r="S137" s="68">
        <f t="shared" si="65"/>
        <v>0</v>
      </c>
      <c r="T137" s="68">
        <f t="shared" si="65"/>
        <v>0</v>
      </c>
    </row>
    <row r="138" spans="1:20" s="21" customFormat="1" ht="27.75" customHeight="1" hidden="1">
      <c r="A138" s="17"/>
      <c r="B138" s="17"/>
      <c r="C138" s="66" t="s">
        <v>223</v>
      </c>
      <c r="D138" s="41"/>
      <c r="E138" s="57" t="s">
        <v>225</v>
      </c>
      <c r="F138" s="79">
        <f>F139</f>
        <v>0</v>
      </c>
      <c r="G138" s="79">
        <f aca="true" t="shared" si="66" ref="G138:T139">G139</f>
        <v>0</v>
      </c>
      <c r="H138" s="68">
        <f t="shared" si="66"/>
        <v>0</v>
      </c>
      <c r="I138" s="68">
        <f t="shared" si="66"/>
        <v>0</v>
      </c>
      <c r="J138" s="68">
        <f t="shared" si="66"/>
        <v>0</v>
      </c>
      <c r="K138" s="68">
        <f t="shared" si="66"/>
        <v>0</v>
      </c>
      <c r="L138" s="68">
        <f t="shared" si="66"/>
        <v>0</v>
      </c>
      <c r="M138" s="70">
        <f t="shared" si="66"/>
        <v>0</v>
      </c>
      <c r="N138" s="68">
        <f t="shared" si="66"/>
        <v>0</v>
      </c>
      <c r="O138" s="51">
        <f t="shared" si="66"/>
        <v>0</v>
      </c>
      <c r="P138" s="68">
        <f t="shared" si="66"/>
        <v>0</v>
      </c>
      <c r="Q138" s="68">
        <f t="shared" si="66"/>
        <v>0</v>
      </c>
      <c r="R138" s="68">
        <f t="shared" si="66"/>
        <v>0</v>
      </c>
      <c r="S138" s="68">
        <f t="shared" si="66"/>
        <v>0</v>
      </c>
      <c r="T138" s="68">
        <f t="shared" si="66"/>
        <v>0</v>
      </c>
    </row>
    <row r="139" spans="1:20" s="21" customFormat="1" ht="27.75" customHeight="1" hidden="1">
      <c r="A139" s="17"/>
      <c r="B139" s="17"/>
      <c r="C139" s="66" t="s">
        <v>224</v>
      </c>
      <c r="D139" s="41"/>
      <c r="E139" s="57" t="s">
        <v>218</v>
      </c>
      <c r="F139" s="79">
        <f>F140</f>
        <v>0</v>
      </c>
      <c r="G139" s="79">
        <f t="shared" si="66"/>
        <v>0</v>
      </c>
      <c r="H139" s="68">
        <f t="shared" si="66"/>
        <v>0</v>
      </c>
      <c r="I139" s="68">
        <f t="shared" si="66"/>
        <v>0</v>
      </c>
      <c r="J139" s="68">
        <f t="shared" si="66"/>
        <v>0</v>
      </c>
      <c r="K139" s="68">
        <f t="shared" si="66"/>
        <v>0</v>
      </c>
      <c r="L139" s="68">
        <f t="shared" si="66"/>
        <v>0</v>
      </c>
      <c r="M139" s="70">
        <f t="shared" si="66"/>
        <v>0</v>
      </c>
      <c r="N139" s="68">
        <f t="shared" si="66"/>
        <v>0</v>
      </c>
      <c r="O139" s="51">
        <f t="shared" si="66"/>
        <v>0</v>
      </c>
      <c r="P139" s="68">
        <f t="shared" si="66"/>
        <v>0</v>
      </c>
      <c r="Q139" s="68">
        <f t="shared" si="66"/>
        <v>0</v>
      </c>
      <c r="R139" s="68">
        <f t="shared" si="66"/>
        <v>0</v>
      </c>
      <c r="S139" s="68">
        <f t="shared" si="66"/>
        <v>0</v>
      </c>
      <c r="T139" s="68">
        <f t="shared" si="66"/>
        <v>0</v>
      </c>
    </row>
    <row r="140" spans="1:20" s="21" customFormat="1" ht="27.75" customHeight="1" hidden="1">
      <c r="A140" s="17"/>
      <c r="B140" s="17"/>
      <c r="C140" s="66"/>
      <c r="D140" s="41" t="s">
        <v>3</v>
      </c>
      <c r="E140" s="67" t="s">
        <v>95</v>
      </c>
      <c r="F140" s="79"/>
      <c r="G140" s="93">
        <f>F140+SUM(H140:T140)</f>
        <v>0</v>
      </c>
      <c r="H140" s="68"/>
      <c r="I140" s="68"/>
      <c r="J140" s="68"/>
      <c r="K140" s="68"/>
      <c r="L140" s="68"/>
      <c r="M140" s="70"/>
      <c r="N140" s="68"/>
      <c r="O140" s="51"/>
      <c r="P140" s="68"/>
      <c r="Q140" s="68"/>
      <c r="R140" s="68"/>
      <c r="S140" s="68"/>
      <c r="T140" s="68"/>
    </row>
    <row r="141" spans="1:20" s="21" customFormat="1" ht="32.25" customHeight="1" hidden="1">
      <c r="A141" s="17"/>
      <c r="B141" s="5" t="s">
        <v>543</v>
      </c>
      <c r="C141" s="66"/>
      <c r="D141" s="41"/>
      <c r="E141" s="113" t="s">
        <v>544</v>
      </c>
      <c r="F141" s="95">
        <f>F142</f>
        <v>0</v>
      </c>
      <c r="G141" s="95">
        <f aca="true" t="shared" si="67" ref="G141:T143">G142</f>
        <v>15</v>
      </c>
      <c r="H141" s="95">
        <f t="shared" si="67"/>
        <v>0</v>
      </c>
      <c r="I141" s="95">
        <f t="shared" si="67"/>
        <v>0</v>
      </c>
      <c r="J141" s="95">
        <f t="shared" si="67"/>
        <v>0</v>
      </c>
      <c r="K141" s="95">
        <f t="shared" si="67"/>
        <v>0</v>
      </c>
      <c r="L141" s="95">
        <f t="shared" si="67"/>
        <v>0</v>
      </c>
      <c r="M141" s="131">
        <f t="shared" si="67"/>
        <v>35</v>
      </c>
      <c r="N141" s="95">
        <f t="shared" si="67"/>
        <v>0</v>
      </c>
      <c r="O141" s="184">
        <f t="shared" si="67"/>
        <v>0</v>
      </c>
      <c r="P141" s="95">
        <f t="shared" si="67"/>
        <v>-20</v>
      </c>
      <c r="Q141" s="95">
        <f t="shared" si="67"/>
        <v>0</v>
      </c>
      <c r="R141" s="95">
        <f t="shared" si="67"/>
        <v>0</v>
      </c>
      <c r="S141" s="95">
        <f t="shared" si="67"/>
        <v>0</v>
      </c>
      <c r="T141" s="95">
        <f t="shared" si="67"/>
        <v>0</v>
      </c>
    </row>
    <row r="142" spans="1:20" s="21" customFormat="1" ht="51.75" customHeight="1" hidden="1">
      <c r="A142" s="17"/>
      <c r="B142" s="5"/>
      <c r="C142" s="63" t="s">
        <v>200</v>
      </c>
      <c r="D142" s="11"/>
      <c r="E142" s="60" t="s">
        <v>114</v>
      </c>
      <c r="F142" s="95">
        <f>F143</f>
        <v>0</v>
      </c>
      <c r="G142" s="95">
        <f t="shared" si="67"/>
        <v>15</v>
      </c>
      <c r="H142" s="95">
        <f t="shared" si="67"/>
        <v>0</v>
      </c>
      <c r="I142" s="95">
        <f t="shared" si="67"/>
        <v>0</v>
      </c>
      <c r="J142" s="95">
        <f t="shared" si="67"/>
        <v>0</v>
      </c>
      <c r="K142" s="95">
        <f t="shared" si="67"/>
        <v>0</v>
      </c>
      <c r="L142" s="95">
        <f t="shared" si="67"/>
        <v>0</v>
      </c>
      <c r="M142" s="131">
        <f t="shared" si="67"/>
        <v>35</v>
      </c>
      <c r="N142" s="95">
        <f t="shared" si="67"/>
        <v>0</v>
      </c>
      <c r="O142" s="184">
        <f t="shared" si="67"/>
        <v>0</v>
      </c>
      <c r="P142" s="95">
        <f t="shared" si="67"/>
        <v>-20</v>
      </c>
      <c r="Q142" s="95">
        <f t="shared" si="67"/>
        <v>0</v>
      </c>
      <c r="R142" s="95">
        <f t="shared" si="67"/>
        <v>0</v>
      </c>
      <c r="S142" s="95">
        <f t="shared" si="67"/>
        <v>0</v>
      </c>
      <c r="T142" s="95">
        <f t="shared" si="67"/>
        <v>0</v>
      </c>
    </row>
    <row r="143" spans="1:20" s="21" customFormat="1" ht="34.5" customHeight="1" hidden="1">
      <c r="A143" s="17"/>
      <c r="B143" s="5"/>
      <c r="C143" s="162" t="s">
        <v>495</v>
      </c>
      <c r="D143" s="136"/>
      <c r="E143" s="137" t="s">
        <v>494</v>
      </c>
      <c r="F143" s="79">
        <f>F144</f>
        <v>0</v>
      </c>
      <c r="G143" s="79">
        <f t="shared" si="67"/>
        <v>15</v>
      </c>
      <c r="H143" s="79">
        <f t="shared" si="67"/>
        <v>0</v>
      </c>
      <c r="I143" s="79">
        <f t="shared" si="67"/>
        <v>0</v>
      </c>
      <c r="J143" s="79">
        <f t="shared" si="67"/>
        <v>0</v>
      </c>
      <c r="K143" s="79">
        <f t="shared" si="67"/>
        <v>0</v>
      </c>
      <c r="L143" s="79">
        <f t="shared" si="67"/>
        <v>0</v>
      </c>
      <c r="M143" s="96">
        <f t="shared" si="67"/>
        <v>35</v>
      </c>
      <c r="N143" s="79">
        <f t="shared" si="67"/>
        <v>0</v>
      </c>
      <c r="O143" s="115">
        <f t="shared" si="67"/>
        <v>0</v>
      </c>
      <c r="P143" s="79">
        <f t="shared" si="67"/>
        <v>-20</v>
      </c>
      <c r="Q143" s="79">
        <f t="shared" si="67"/>
        <v>0</v>
      </c>
      <c r="R143" s="79">
        <f t="shared" si="67"/>
        <v>0</v>
      </c>
      <c r="S143" s="79">
        <f t="shared" si="67"/>
        <v>0</v>
      </c>
      <c r="T143" s="79">
        <f t="shared" si="67"/>
        <v>0</v>
      </c>
    </row>
    <row r="144" spans="1:20" s="21" customFormat="1" ht="42" customHeight="1" hidden="1">
      <c r="A144" s="17"/>
      <c r="B144" s="5"/>
      <c r="C144" s="147" t="s">
        <v>496</v>
      </c>
      <c r="D144" s="107"/>
      <c r="E144" s="138" t="s">
        <v>517</v>
      </c>
      <c r="F144" s="79">
        <f>F145+F147</f>
        <v>0</v>
      </c>
      <c r="G144" s="79">
        <f aca="true" t="shared" si="68" ref="G144:T144">G145+G147</f>
        <v>15</v>
      </c>
      <c r="H144" s="79">
        <f t="shared" si="68"/>
        <v>0</v>
      </c>
      <c r="I144" s="79">
        <f t="shared" si="68"/>
        <v>0</v>
      </c>
      <c r="J144" s="79">
        <f t="shared" si="68"/>
        <v>0</v>
      </c>
      <c r="K144" s="79">
        <f t="shared" si="68"/>
        <v>0</v>
      </c>
      <c r="L144" s="79">
        <f t="shared" si="68"/>
        <v>0</v>
      </c>
      <c r="M144" s="96">
        <f t="shared" si="68"/>
        <v>35</v>
      </c>
      <c r="N144" s="79">
        <f t="shared" si="68"/>
        <v>0</v>
      </c>
      <c r="O144" s="115">
        <f t="shared" si="68"/>
        <v>0</v>
      </c>
      <c r="P144" s="79">
        <f t="shared" si="68"/>
        <v>-20</v>
      </c>
      <c r="Q144" s="79">
        <f t="shared" si="68"/>
        <v>0</v>
      </c>
      <c r="R144" s="79">
        <f>R145+R147</f>
        <v>0</v>
      </c>
      <c r="S144" s="79">
        <f>S145+S147</f>
        <v>0</v>
      </c>
      <c r="T144" s="79">
        <f t="shared" si="68"/>
        <v>0</v>
      </c>
    </row>
    <row r="145" spans="1:20" s="21" customFormat="1" ht="27.75" customHeight="1" hidden="1">
      <c r="A145" s="17"/>
      <c r="B145" s="5"/>
      <c r="C145" s="147" t="s">
        <v>497</v>
      </c>
      <c r="D145" s="107"/>
      <c r="E145" s="139" t="s">
        <v>211</v>
      </c>
      <c r="F145" s="79">
        <f>F146</f>
        <v>0</v>
      </c>
      <c r="G145" s="79">
        <f aca="true" t="shared" si="69" ref="G145:T145">G146</f>
        <v>10</v>
      </c>
      <c r="H145" s="79">
        <f t="shared" si="69"/>
        <v>0</v>
      </c>
      <c r="I145" s="79">
        <f t="shared" si="69"/>
        <v>0</v>
      </c>
      <c r="J145" s="79">
        <f t="shared" si="69"/>
        <v>0</v>
      </c>
      <c r="K145" s="79">
        <f t="shared" si="69"/>
        <v>0</v>
      </c>
      <c r="L145" s="79">
        <f t="shared" si="69"/>
        <v>0</v>
      </c>
      <c r="M145" s="96">
        <f t="shared" si="69"/>
        <v>30</v>
      </c>
      <c r="N145" s="79">
        <f t="shared" si="69"/>
        <v>0</v>
      </c>
      <c r="O145" s="115">
        <f t="shared" si="69"/>
        <v>0</v>
      </c>
      <c r="P145" s="79">
        <f t="shared" si="69"/>
        <v>-20</v>
      </c>
      <c r="Q145" s="79">
        <f t="shared" si="69"/>
        <v>0</v>
      </c>
      <c r="R145" s="79">
        <f t="shared" si="69"/>
        <v>0</v>
      </c>
      <c r="S145" s="79">
        <f t="shared" si="69"/>
        <v>0</v>
      </c>
      <c r="T145" s="79">
        <f t="shared" si="69"/>
        <v>0</v>
      </c>
    </row>
    <row r="146" spans="1:20" s="21" customFormat="1" ht="27.75" customHeight="1" hidden="1">
      <c r="A146" s="17"/>
      <c r="B146" s="5"/>
      <c r="C146" s="66"/>
      <c r="D146" s="41" t="s">
        <v>3</v>
      </c>
      <c r="E146" s="67" t="s">
        <v>95</v>
      </c>
      <c r="F146" s="79"/>
      <c r="G146" s="93">
        <f>F146+SUM(H146:T146)</f>
        <v>10</v>
      </c>
      <c r="H146" s="68"/>
      <c r="I146" s="68"/>
      <c r="J146" s="68"/>
      <c r="K146" s="68"/>
      <c r="L146" s="68"/>
      <c r="M146" s="70">
        <f>30</f>
        <v>30</v>
      </c>
      <c r="N146" s="68"/>
      <c r="O146" s="51"/>
      <c r="P146" s="68">
        <v>-20</v>
      </c>
      <c r="Q146" s="68"/>
      <c r="R146" s="68"/>
      <c r="S146" s="68"/>
      <c r="T146" s="68"/>
    </row>
    <row r="147" spans="1:20" s="21" customFormat="1" ht="36.75" customHeight="1" hidden="1">
      <c r="A147" s="17"/>
      <c r="B147" s="17"/>
      <c r="C147" s="66" t="s">
        <v>498</v>
      </c>
      <c r="D147" s="41"/>
      <c r="E147" s="67" t="s">
        <v>499</v>
      </c>
      <c r="F147" s="79">
        <f>F148</f>
        <v>0</v>
      </c>
      <c r="G147" s="79">
        <f aca="true" t="shared" si="70" ref="G147:T147">G148</f>
        <v>5</v>
      </c>
      <c r="H147" s="79">
        <f t="shared" si="70"/>
        <v>0</v>
      </c>
      <c r="I147" s="79">
        <f t="shared" si="70"/>
        <v>0</v>
      </c>
      <c r="J147" s="79">
        <f t="shared" si="70"/>
        <v>0</v>
      </c>
      <c r="K147" s="79">
        <f t="shared" si="70"/>
        <v>0</v>
      </c>
      <c r="L147" s="79">
        <f t="shared" si="70"/>
        <v>0</v>
      </c>
      <c r="M147" s="96">
        <f t="shared" si="70"/>
        <v>5</v>
      </c>
      <c r="N147" s="79">
        <f t="shared" si="70"/>
        <v>0</v>
      </c>
      <c r="O147" s="115">
        <f t="shared" si="70"/>
        <v>0</v>
      </c>
      <c r="P147" s="79">
        <f t="shared" si="70"/>
        <v>0</v>
      </c>
      <c r="Q147" s="79">
        <f t="shared" si="70"/>
        <v>0</v>
      </c>
      <c r="R147" s="79">
        <f t="shared" si="70"/>
        <v>0</v>
      </c>
      <c r="S147" s="79">
        <f t="shared" si="70"/>
        <v>0</v>
      </c>
      <c r="T147" s="79">
        <f t="shared" si="70"/>
        <v>0</v>
      </c>
    </row>
    <row r="148" spans="1:20" s="21" customFormat="1" ht="33" customHeight="1" hidden="1">
      <c r="A148" s="17"/>
      <c r="B148" s="17"/>
      <c r="C148" s="66"/>
      <c r="D148" s="41" t="s">
        <v>3</v>
      </c>
      <c r="E148" s="67" t="s">
        <v>95</v>
      </c>
      <c r="F148" s="79"/>
      <c r="G148" s="93">
        <f>F148+SUM(H148:T148)</f>
        <v>5</v>
      </c>
      <c r="H148" s="68"/>
      <c r="I148" s="68"/>
      <c r="J148" s="68"/>
      <c r="K148" s="68"/>
      <c r="L148" s="68"/>
      <c r="M148" s="70">
        <f>5</f>
        <v>5</v>
      </c>
      <c r="N148" s="68"/>
      <c r="O148" s="51"/>
      <c r="P148" s="68"/>
      <c r="Q148" s="68"/>
      <c r="R148" s="68"/>
      <c r="S148" s="68"/>
      <c r="T148" s="68"/>
    </row>
    <row r="149" spans="1:20" s="21" customFormat="1" ht="27.75" customHeight="1" hidden="1">
      <c r="A149" s="17"/>
      <c r="B149" s="5" t="s">
        <v>46</v>
      </c>
      <c r="C149" s="5"/>
      <c r="D149" s="5"/>
      <c r="E149" s="13" t="s">
        <v>47</v>
      </c>
      <c r="F149" s="94">
        <f>F150+F158</f>
        <v>327.3</v>
      </c>
      <c r="G149" s="94">
        <f aca="true" t="shared" si="71" ref="G149:T149">G150+G158</f>
        <v>120</v>
      </c>
      <c r="H149" s="94">
        <f t="shared" si="71"/>
        <v>0</v>
      </c>
      <c r="I149" s="94">
        <f t="shared" si="71"/>
        <v>0</v>
      </c>
      <c r="J149" s="94">
        <f t="shared" si="71"/>
        <v>-207.3</v>
      </c>
      <c r="K149" s="94">
        <f t="shared" si="71"/>
        <v>0</v>
      </c>
      <c r="L149" s="94">
        <f t="shared" si="71"/>
        <v>0</v>
      </c>
      <c r="M149" s="155">
        <f t="shared" si="71"/>
        <v>0</v>
      </c>
      <c r="N149" s="94">
        <f t="shared" si="71"/>
        <v>0</v>
      </c>
      <c r="O149" s="187">
        <f t="shared" si="71"/>
        <v>0</v>
      </c>
      <c r="P149" s="94">
        <f t="shared" si="71"/>
        <v>0</v>
      </c>
      <c r="Q149" s="94">
        <f t="shared" si="71"/>
        <v>0</v>
      </c>
      <c r="R149" s="94">
        <f>R150+R158</f>
        <v>0</v>
      </c>
      <c r="S149" s="94">
        <f>S150+S158</f>
        <v>0</v>
      </c>
      <c r="T149" s="94">
        <f t="shared" si="71"/>
        <v>0</v>
      </c>
    </row>
    <row r="150" spans="1:20" s="21" customFormat="1" ht="27.75" customHeight="1" hidden="1">
      <c r="A150" s="17"/>
      <c r="B150" s="5" t="s">
        <v>151</v>
      </c>
      <c r="C150" s="5"/>
      <c r="D150" s="5"/>
      <c r="E150" s="13" t="s">
        <v>152</v>
      </c>
      <c r="F150" s="94">
        <f>F151</f>
        <v>0</v>
      </c>
      <c r="G150" s="94">
        <f aca="true" t="shared" si="72" ref="G150:O150">G151</f>
        <v>0</v>
      </c>
      <c r="H150" s="94">
        <f t="shared" si="72"/>
        <v>0</v>
      </c>
      <c r="I150" s="94">
        <f t="shared" si="72"/>
        <v>0</v>
      </c>
      <c r="J150" s="94">
        <f t="shared" si="72"/>
        <v>0</v>
      </c>
      <c r="K150" s="94">
        <f t="shared" si="72"/>
        <v>0</v>
      </c>
      <c r="L150" s="94">
        <f t="shared" si="72"/>
        <v>0</v>
      </c>
      <c r="M150" s="155">
        <f t="shared" si="72"/>
        <v>0</v>
      </c>
      <c r="N150" s="94">
        <f t="shared" si="72"/>
        <v>0</v>
      </c>
      <c r="O150" s="187">
        <f t="shared" si="72"/>
        <v>0</v>
      </c>
      <c r="P150" s="68"/>
      <c r="Q150" s="68"/>
      <c r="R150" s="94">
        <f aca="true" t="shared" si="73" ref="R150:S152">R151</f>
        <v>0</v>
      </c>
      <c r="S150" s="94">
        <f t="shared" si="73"/>
        <v>0</v>
      </c>
      <c r="T150" s="68"/>
    </row>
    <row r="151" spans="1:20" s="21" customFormat="1" ht="48.75" customHeight="1" hidden="1">
      <c r="A151" s="17"/>
      <c r="B151" s="17"/>
      <c r="C151" s="63" t="s">
        <v>200</v>
      </c>
      <c r="D151" s="11"/>
      <c r="E151" s="60" t="s">
        <v>114</v>
      </c>
      <c r="F151" s="73">
        <f aca="true" t="shared" si="74" ref="F151:O152">F152</f>
        <v>0</v>
      </c>
      <c r="G151" s="73">
        <f t="shared" si="74"/>
        <v>0</v>
      </c>
      <c r="H151" s="73">
        <f t="shared" si="74"/>
        <v>0</v>
      </c>
      <c r="I151" s="73">
        <f t="shared" si="74"/>
        <v>0</v>
      </c>
      <c r="J151" s="73">
        <f t="shared" si="74"/>
        <v>0</v>
      </c>
      <c r="K151" s="73">
        <f t="shared" si="74"/>
        <v>0</v>
      </c>
      <c r="L151" s="73">
        <f t="shared" si="74"/>
        <v>0</v>
      </c>
      <c r="M151" s="77">
        <f t="shared" si="74"/>
        <v>0</v>
      </c>
      <c r="N151" s="73">
        <f t="shared" si="74"/>
        <v>0</v>
      </c>
      <c r="O151" s="50">
        <f t="shared" si="74"/>
        <v>0</v>
      </c>
      <c r="P151" s="68"/>
      <c r="Q151" s="68"/>
      <c r="R151" s="73">
        <f t="shared" si="73"/>
        <v>0</v>
      </c>
      <c r="S151" s="73">
        <f t="shared" si="73"/>
        <v>0</v>
      </c>
      <c r="T151" s="68"/>
    </row>
    <row r="152" spans="1:20" s="21" customFormat="1" ht="57" customHeight="1" hidden="1">
      <c r="A152" s="17"/>
      <c r="B152" s="17"/>
      <c r="C152" s="82" t="s">
        <v>236</v>
      </c>
      <c r="D152" s="41"/>
      <c r="E152" s="61" t="s">
        <v>117</v>
      </c>
      <c r="F152" s="68">
        <f t="shared" si="74"/>
        <v>0</v>
      </c>
      <c r="G152" s="68">
        <f t="shared" si="74"/>
        <v>0</v>
      </c>
      <c r="H152" s="68">
        <f t="shared" si="74"/>
        <v>0</v>
      </c>
      <c r="I152" s="68">
        <f t="shared" si="74"/>
        <v>0</v>
      </c>
      <c r="J152" s="68">
        <f t="shared" si="74"/>
        <v>0</v>
      </c>
      <c r="K152" s="68">
        <f t="shared" si="74"/>
        <v>0</v>
      </c>
      <c r="L152" s="68">
        <f t="shared" si="74"/>
        <v>0</v>
      </c>
      <c r="M152" s="70">
        <f t="shared" si="74"/>
        <v>0</v>
      </c>
      <c r="N152" s="68">
        <f t="shared" si="74"/>
        <v>0</v>
      </c>
      <c r="O152" s="51">
        <f t="shared" si="74"/>
        <v>0</v>
      </c>
      <c r="P152" s="68"/>
      <c r="Q152" s="68"/>
      <c r="R152" s="68">
        <f t="shared" si="73"/>
        <v>0</v>
      </c>
      <c r="S152" s="68">
        <f t="shared" si="73"/>
        <v>0</v>
      </c>
      <c r="T152" s="68"/>
    </row>
    <row r="153" spans="1:20" s="21" customFormat="1" ht="56.25" customHeight="1" hidden="1">
      <c r="A153" s="17"/>
      <c r="B153" s="17"/>
      <c r="C153" s="66" t="s">
        <v>237</v>
      </c>
      <c r="D153" s="41"/>
      <c r="E153" s="57" t="s">
        <v>239</v>
      </c>
      <c r="F153" s="68">
        <f aca="true" t="shared" si="75" ref="F153:O153">F154+F156</f>
        <v>0</v>
      </c>
      <c r="G153" s="68">
        <f t="shared" si="75"/>
        <v>0</v>
      </c>
      <c r="H153" s="68">
        <f t="shared" si="75"/>
        <v>0</v>
      </c>
      <c r="I153" s="68">
        <f t="shared" si="75"/>
        <v>0</v>
      </c>
      <c r="J153" s="68">
        <f t="shared" si="75"/>
        <v>0</v>
      </c>
      <c r="K153" s="68">
        <f t="shared" si="75"/>
        <v>0</v>
      </c>
      <c r="L153" s="68">
        <f t="shared" si="75"/>
        <v>0</v>
      </c>
      <c r="M153" s="70">
        <f t="shared" si="75"/>
        <v>0</v>
      </c>
      <c r="N153" s="68">
        <f t="shared" si="75"/>
        <v>0</v>
      </c>
      <c r="O153" s="51">
        <f t="shared" si="75"/>
        <v>0</v>
      </c>
      <c r="P153" s="68"/>
      <c r="Q153" s="68"/>
      <c r="R153" s="68">
        <f>R154+R156</f>
        <v>0</v>
      </c>
      <c r="S153" s="68">
        <f>S154+S156</f>
        <v>0</v>
      </c>
      <c r="T153" s="68"/>
    </row>
    <row r="154" spans="1:20" s="21" customFormat="1" ht="27.75" customHeight="1" hidden="1">
      <c r="A154" s="17"/>
      <c r="B154" s="17"/>
      <c r="C154" s="66" t="s">
        <v>238</v>
      </c>
      <c r="D154" s="41"/>
      <c r="E154" s="67" t="s">
        <v>453</v>
      </c>
      <c r="F154" s="93">
        <f aca="true" t="shared" si="76" ref="F154:T154">F155</f>
        <v>0</v>
      </c>
      <c r="G154" s="93">
        <f t="shared" si="76"/>
        <v>0</v>
      </c>
      <c r="H154" s="93">
        <f t="shared" si="76"/>
        <v>0</v>
      </c>
      <c r="I154" s="93">
        <f t="shared" si="76"/>
        <v>0</v>
      </c>
      <c r="J154" s="93">
        <f t="shared" si="76"/>
        <v>0</v>
      </c>
      <c r="K154" s="93">
        <f t="shared" si="76"/>
        <v>0</v>
      </c>
      <c r="L154" s="93">
        <f t="shared" si="76"/>
        <v>0</v>
      </c>
      <c r="M154" s="133">
        <f t="shared" si="76"/>
        <v>0</v>
      </c>
      <c r="N154" s="93">
        <f t="shared" si="76"/>
        <v>0</v>
      </c>
      <c r="O154" s="188">
        <f t="shared" si="76"/>
        <v>0</v>
      </c>
      <c r="P154" s="93">
        <f t="shared" si="76"/>
        <v>0</v>
      </c>
      <c r="Q154" s="93">
        <f t="shared" si="76"/>
        <v>0</v>
      </c>
      <c r="R154" s="93">
        <f t="shared" si="76"/>
        <v>0</v>
      </c>
      <c r="S154" s="93">
        <f t="shared" si="76"/>
        <v>0</v>
      </c>
      <c r="T154" s="93">
        <f t="shared" si="76"/>
        <v>0</v>
      </c>
    </row>
    <row r="155" spans="1:20" s="21" customFormat="1" ht="27.75" customHeight="1" hidden="1">
      <c r="A155" s="17"/>
      <c r="B155" s="17"/>
      <c r="C155" s="66"/>
      <c r="D155" s="41" t="s">
        <v>9</v>
      </c>
      <c r="E155" s="67" t="s">
        <v>37</v>
      </c>
      <c r="F155" s="79"/>
      <c r="G155" s="93">
        <f>F155+SUM(H155:T155)</f>
        <v>0</v>
      </c>
      <c r="H155" s="68"/>
      <c r="I155" s="68"/>
      <c r="J155" s="68"/>
      <c r="K155" s="68"/>
      <c r="L155" s="68"/>
      <c r="M155" s="70"/>
      <c r="N155" s="79"/>
      <c r="O155" s="51"/>
      <c r="P155" s="68"/>
      <c r="Q155" s="68"/>
      <c r="R155" s="79"/>
      <c r="S155" s="79"/>
      <c r="T155" s="68"/>
    </row>
    <row r="156" spans="1:20" s="21" customFormat="1" ht="27.75" customHeight="1" hidden="1">
      <c r="A156" s="17"/>
      <c r="B156" s="17"/>
      <c r="C156" s="66" t="s">
        <v>452</v>
      </c>
      <c r="D156" s="41"/>
      <c r="E156" s="67" t="s">
        <v>453</v>
      </c>
      <c r="F156" s="68">
        <f aca="true" t="shared" si="77" ref="F156:O156">F157</f>
        <v>0</v>
      </c>
      <c r="G156" s="68">
        <f t="shared" si="77"/>
        <v>0</v>
      </c>
      <c r="H156" s="68">
        <f t="shared" si="77"/>
        <v>0</v>
      </c>
      <c r="I156" s="68">
        <f t="shared" si="77"/>
        <v>0</v>
      </c>
      <c r="J156" s="68">
        <f t="shared" si="77"/>
        <v>0</v>
      </c>
      <c r="K156" s="68">
        <f t="shared" si="77"/>
        <v>0</v>
      </c>
      <c r="L156" s="68">
        <f t="shared" si="77"/>
        <v>0</v>
      </c>
      <c r="M156" s="70">
        <f t="shared" si="77"/>
        <v>0</v>
      </c>
      <c r="N156" s="68">
        <f t="shared" si="77"/>
        <v>0</v>
      </c>
      <c r="O156" s="51">
        <f t="shared" si="77"/>
        <v>0</v>
      </c>
      <c r="P156" s="68"/>
      <c r="Q156" s="68"/>
      <c r="R156" s="68">
        <f>R157</f>
        <v>0</v>
      </c>
      <c r="S156" s="68">
        <f>S157</f>
        <v>0</v>
      </c>
      <c r="T156" s="68"/>
    </row>
    <row r="157" spans="1:20" s="21" customFormat="1" ht="27.75" customHeight="1" hidden="1">
      <c r="A157" s="17"/>
      <c r="B157" s="17"/>
      <c r="C157" s="66"/>
      <c r="D157" s="41" t="s">
        <v>9</v>
      </c>
      <c r="E157" s="67" t="s">
        <v>37</v>
      </c>
      <c r="F157" s="79"/>
      <c r="G157" s="93">
        <f>F157+SUM(H157:T157)</f>
        <v>0</v>
      </c>
      <c r="H157" s="68"/>
      <c r="I157" s="68"/>
      <c r="J157" s="68"/>
      <c r="K157" s="68"/>
      <c r="L157" s="68"/>
      <c r="M157" s="70"/>
      <c r="N157" s="68"/>
      <c r="O157" s="51"/>
      <c r="P157" s="68"/>
      <c r="Q157" s="68"/>
      <c r="R157" s="68"/>
      <c r="S157" s="68"/>
      <c r="T157" s="68"/>
    </row>
    <row r="158" spans="1:20" s="21" customFormat="1" ht="17.25" customHeight="1" hidden="1">
      <c r="A158" s="17"/>
      <c r="B158" s="5" t="s">
        <v>48</v>
      </c>
      <c r="C158" s="16"/>
      <c r="D158" s="5"/>
      <c r="E158" s="13" t="s">
        <v>49</v>
      </c>
      <c r="F158" s="95">
        <f>F159</f>
        <v>327.3</v>
      </c>
      <c r="G158" s="95">
        <f aca="true" t="shared" si="78" ref="G158:T160">G159</f>
        <v>120</v>
      </c>
      <c r="H158" s="79">
        <f t="shared" si="78"/>
        <v>0</v>
      </c>
      <c r="I158" s="79">
        <f t="shared" si="78"/>
        <v>0</v>
      </c>
      <c r="J158" s="79">
        <f t="shared" si="78"/>
        <v>-207.3</v>
      </c>
      <c r="K158" s="79">
        <f t="shared" si="78"/>
        <v>0</v>
      </c>
      <c r="L158" s="79">
        <f t="shared" si="78"/>
        <v>0</v>
      </c>
      <c r="M158" s="96">
        <f t="shared" si="78"/>
        <v>0</v>
      </c>
      <c r="N158" s="79">
        <f t="shared" si="78"/>
        <v>0</v>
      </c>
      <c r="O158" s="115">
        <f t="shared" si="78"/>
        <v>0</v>
      </c>
      <c r="P158" s="79">
        <f t="shared" si="78"/>
        <v>0</v>
      </c>
      <c r="Q158" s="79">
        <f t="shared" si="78"/>
        <v>0</v>
      </c>
      <c r="R158" s="79">
        <f t="shared" si="78"/>
        <v>0</v>
      </c>
      <c r="S158" s="79">
        <f t="shared" si="78"/>
        <v>0</v>
      </c>
      <c r="T158" s="79">
        <f t="shared" si="78"/>
        <v>0</v>
      </c>
    </row>
    <row r="159" spans="1:20" s="21" customFormat="1" ht="75" customHeight="1" hidden="1">
      <c r="A159" s="17"/>
      <c r="B159" s="17"/>
      <c r="C159" s="63" t="s">
        <v>488</v>
      </c>
      <c r="D159" s="11"/>
      <c r="E159" s="113" t="s">
        <v>490</v>
      </c>
      <c r="F159" s="95">
        <f>F160+F162+F164</f>
        <v>327.3</v>
      </c>
      <c r="G159" s="95">
        <f aca="true" t="shared" si="79" ref="G159:T159">G160+G162+G164</f>
        <v>120</v>
      </c>
      <c r="H159" s="95">
        <f t="shared" si="79"/>
        <v>0</v>
      </c>
      <c r="I159" s="95">
        <f t="shared" si="79"/>
        <v>0</v>
      </c>
      <c r="J159" s="95">
        <f t="shared" si="79"/>
        <v>-207.3</v>
      </c>
      <c r="K159" s="95">
        <f t="shared" si="79"/>
        <v>0</v>
      </c>
      <c r="L159" s="95">
        <f t="shared" si="79"/>
        <v>0</v>
      </c>
      <c r="M159" s="131">
        <f t="shared" si="79"/>
        <v>0</v>
      </c>
      <c r="N159" s="95">
        <f t="shared" si="79"/>
        <v>0</v>
      </c>
      <c r="O159" s="184">
        <f t="shared" si="79"/>
        <v>0</v>
      </c>
      <c r="P159" s="95">
        <f t="shared" si="79"/>
        <v>0</v>
      </c>
      <c r="Q159" s="95">
        <f t="shared" si="79"/>
        <v>0</v>
      </c>
      <c r="R159" s="95">
        <f>R160+R162+R164</f>
        <v>0</v>
      </c>
      <c r="S159" s="95">
        <f>S160+S162+S164</f>
        <v>0</v>
      </c>
      <c r="T159" s="95">
        <f t="shared" si="79"/>
        <v>0</v>
      </c>
    </row>
    <row r="160" spans="1:20" s="21" customFormat="1" ht="54" customHeight="1" hidden="1">
      <c r="A160" s="17"/>
      <c r="B160" s="17"/>
      <c r="C160" s="66" t="s">
        <v>489</v>
      </c>
      <c r="D160" s="41"/>
      <c r="E160" s="67" t="s">
        <v>491</v>
      </c>
      <c r="F160" s="79">
        <f>F161</f>
        <v>327.3</v>
      </c>
      <c r="G160" s="79">
        <f t="shared" si="78"/>
        <v>50</v>
      </c>
      <c r="H160" s="79">
        <f t="shared" si="78"/>
        <v>0</v>
      </c>
      <c r="I160" s="79">
        <f t="shared" si="78"/>
        <v>0</v>
      </c>
      <c r="J160" s="79">
        <f t="shared" si="78"/>
        <v>-277.3</v>
      </c>
      <c r="K160" s="79">
        <f t="shared" si="78"/>
        <v>0</v>
      </c>
      <c r="L160" s="79">
        <f t="shared" si="78"/>
        <v>0</v>
      </c>
      <c r="M160" s="96">
        <f t="shared" si="78"/>
        <v>0</v>
      </c>
      <c r="N160" s="79">
        <f t="shared" si="78"/>
        <v>0</v>
      </c>
      <c r="O160" s="115">
        <f t="shared" si="78"/>
        <v>0</v>
      </c>
      <c r="P160" s="79">
        <f t="shared" si="78"/>
        <v>0</v>
      </c>
      <c r="Q160" s="79">
        <f t="shared" si="78"/>
        <v>0</v>
      </c>
      <c r="R160" s="79">
        <f t="shared" si="78"/>
        <v>0</v>
      </c>
      <c r="S160" s="79">
        <f t="shared" si="78"/>
        <v>0</v>
      </c>
      <c r="T160" s="79">
        <f t="shared" si="78"/>
        <v>0</v>
      </c>
    </row>
    <row r="161" spans="1:20" s="21" customFormat="1" ht="22.5" customHeight="1" hidden="1">
      <c r="A161" s="17"/>
      <c r="B161" s="17"/>
      <c r="C161" s="66"/>
      <c r="D161" s="41" t="s">
        <v>9</v>
      </c>
      <c r="E161" s="67" t="s">
        <v>37</v>
      </c>
      <c r="F161" s="79">
        <v>327.3</v>
      </c>
      <c r="G161" s="93">
        <f>F161+SUM(H161:T161)</f>
        <v>50</v>
      </c>
      <c r="H161" s="68"/>
      <c r="I161" s="68"/>
      <c r="J161" s="68">
        <v>-277.3</v>
      </c>
      <c r="K161" s="68"/>
      <c r="L161" s="68"/>
      <c r="M161" s="70"/>
      <c r="N161" s="68"/>
      <c r="O161" s="51"/>
      <c r="P161" s="68"/>
      <c r="Q161" s="68"/>
      <c r="R161" s="68"/>
      <c r="S161" s="68"/>
      <c r="T161" s="68"/>
    </row>
    <row r="162" spans="1:20" s="21" customFormat="1" ht="55.5" customHeight="1" hidden="1">
      <c r="A162" s="17"/>
      <c r="B162" s="17"/>
      <c r="C162" s="66" t="s">
        <v>524</v>
      </c>
      <c r="D162" s="41"/>
      <c r="E162" s="134" t="s">
        <v>491</v>
      </c>
      <c r="F162" s="79">
        <f>F163</f>
        <v>0</v>
      </c>
      <c r="G162" s="79">
        <f aca="true" t="shared" si="80" ref="G162:T162">G163</f>
        <v>35</v>
      </c>
      <c r="H162" s="79">
        <f t="shared" si="80"/>
        <v>0</v>
      </c>
      <c r="I162" s="79">
        <f t="shared" si="80"/>
        <v>0</v>
      </c>
      <c r="J162" s="79">
        <f t="shared" si="80"/>
        <v>35</v>
      </c>
      <c r="K162" s="79">
        <f t="shared" si="80"/>
        <v>0</v>
      </c>
      <c r="L162" s="79">
        <f t="shared" si="80"/>
        <v>0</v>
      </c>
      <c r="M162" s="96">
        <f t="shared" si="80"/>
        <v>0</v>
      </c>
      <c r="N162" s="79">
        <f t="shared" si="80"/>
        <v>0</v>
      </c>
      <c r="O162" s="115">
        <f t="shared" si="80"/>
        <v>0</v>
      </c>
      <c r="P162" s="79">
        <f t="shared" si="80"/>
        <v>0</v>
      </c>
      <c r="Q162" s="79">
        <f t="shared" si="80"/>
        <v>0</v>
      </c>
      <c r="R162" s="79">
        <f t="shared" si="80"/>
        <v>0</v>
      </c>
      <c r="S162" s="79">
        <f t="shared" si="80"/>
        <v>0</v>
      </c>
      <c r="T162" s="79">
        <f t="shared" si="80"/>
        <v>0</v>
      </c>
    </row>
    <row r="163" spans="1:20" s="21" customFormat="1" ht="22.5" customHeight="1" hidden="1">
      <c r="A163" s="17"/>
      <c r="B163" s="17"/>
      <c r="C163" s="66"/>
      <c r="D163" s="41" t="s">
        <v>9</v>
      </c>
      <c r="E163" s="67" t="s">
        <v>37</v>
      </c>
      <c r="F163" s="79"/>
      <c r="G163" s="93">
        <f>F163+SUM(H163:T163)</f>
        <v>35</v>
      </c>
      <c r="H163" s="68"/>
      <c r="I163" s="68"/>
      <c r="J163" s="68">
        <v>35</v>
      </c>
      <c r="K163" s="68"/>
      <c r="L163" s="68"/>
      <c r="M163" s="70"/>
      <c r="N163" s="68"/>
      <c r="O163" s="51"/>
      <c r="P163" s="68"/>
      <c r="Q163" s="68"/>
      <c r="R163" s="68"/>
      <c r="S163" s="68"/>
      <c r="T163" s="68"/>
    </row>
    <row r="164" spans="1:20" s="21" customFormat="1" ht="52.5" customHeight="1" hidden="1">
      <c r="A164" s="17"/>
      <c r="B164" s="17"/>
      <c r="C164" s="66" t="s">
        <v>525</v>
      </c>
      <c r="D164" s="41"/>
      <c r="E164" s="134" t="s">
        <v>491</v>
      </c>
      <c r="F164" s="79">
        <f>F165</f>
        <v>0</v>
      </c>
      <c r="G164" s="79">
        <f aca="true" t="shared" si="81" ref="G164:T164">G165</f>
        <v>35</v>
      </c>
      <c r="H164" s="79">
        <f t="shared" si="81"/>
        <v>0</v>
      </c>
      <c r="I164" s="79">
        <f t="shared" si="81"/>
        <v>0</v>
      </c>
      <c r="J164" s="79">
        <f t="shared" si="81"/>
        <v>35</v>
      </c>
      <c r="K164" s="79">
        <f t="shared" si="81"/>
        <v>0</v>
      </c>
      <c r="L164" s="79">
        <f t="shared" si="81"/>
        <v>0</v>
      </c>
      <c r="M164" s="96">
        <f t="shared" si="81"/>
        <v>0</v>
      </c>
      <c r="N164" s="79">
        <f t="shared" si="81"/>
        <v>0</v>
      </c>
      <c r="O164" s="115">
        <f t="shared" si="81"/>
        <v>0</v>
      </c>
      <c r="P164" s="79">
        <f t="shared" si="81"/>
        <v>0</v>
      </c>
      <c r="Q164" s="79">
        <f t="shared" si="81"/>
        <v>0</v>
      </c>
      <c r="R164" s="79">
        <f t="shared" si="81"/>
        <v>0</v>
      </c>
      <c r="S164" s="79">
        <f t="shared" si="81"/>
        <v>0</v>
      </c>
      <c r="T164" s="79">
        <f t="shared" si="81"/>
        <v>0</v>
      </c>
    </row>
    <row r="165" spans="1:20" s="21" customFormat="1" ht="22.5" customHeight="1" hidden="1">
      <c r="A165" s="17"/>
      <c r="B165" s="17"/>
      <c r="C165" s="66"/>
      <c r="D165" s="41" t="s">
        <v>9</v>
      </c>
      <c r="E165" s="67" t="s">
        <v>37</v>
      </c>
      <c r="F165" s="79"/>
      <c r="G165" s="93">
        <f>F165+SUM(H165:T165)</f>
        <v>35</v>
      </c>
      <c r="H165" s="68"/>
      <c r="I165" s="68"/>
      <c r="J165" s="68">
        <v>35</v>
      </c>
      <c r="K165" s="68"/>
      <c r="L165" s="68"/>
      <c r="M165" s="70"/>
      <c r="N165" s="68"/>
      <c r="O165" s="51"/>
      <c r="P165" s="68"/>
      <c r="Q165" s="68"/>
      <c r="R165" s="68"/>
      <c r="S165" s="68"/>
      <c r="T165" s="68"/>
    </row>
    <row r="166" spans="1:20" s="21" customFormat="1" ht="27.75" customHeight="1">
      <c r="A166" s="17"/>
      <c r="B166" s="5" t="s">
        <v>58</v>
      </c>
      <c r="C166" s="5"/>
      <c r="D166" s="5"/>
      <c r="E166" s="13" t="s">
        <v>59</v>
      </c>
      <c r="F166" s="95">
        <f>F171+F167</f>
        <v>0</v>
      </c>
      <c r="G166" s="95">
        <f aca="true" t="shared" si="82" ref="G166:T166">G171+G167</f>
        <v>1349.1049600000001</v>
      </c>
      <c r="H166" s="95">
        <f t="shared" si="82"/>
        <v>0</v>
      </c>
      <c r="I166" s="95">
        <f t="shared" si="82"/>
        <v>0</v>
      </c>
      <c r="J166" s="95">
        <f t="shared" si="82"/>
        <v>0</v>
      </c>
      <c r="K166" s="95">
        <f t="shared" si="82"/>
        <v>0</v>
      </c>
      <c r="L166" s="95">
        <f t="shared" si="82"/>
        <v>62.8</v>
      </c>
      <c r="M166" s="131">
        <f t="shared" si="82"/>
        <v>598.90496</v>
      </c>
      <c r="N166" s="95">
        <f t="shared" si="82"/>
        <v>0</v>
      </c>
      <c r="O166" s="184">
        <f t="shared" si="82"/>
        <v>687.4</v>
      </c>
      <c r="P166" s="95">
        <f t="shared" si="82"/>
        <v>0</v>
      </c>
      <c r="Q166" s="95">
        <f t="shared" si="82"/>
        <v>0</v>
      </c>
      <c r="R166" s="95">
        <f>R171+R167</f>
        <v>0</v>
      </c>
      <c r="S166" s="95">
        <f>S171+S167</f>
        <v>0</v>
      </c>
      <c r="T166" s="95">
        <f t="shared" si="82"/>
        <v>0</v>
      </c>
    </row>
    <row r="167" spans="1:20" s="21" customFormat="1" ht="27.75" customHeight="1" hidden="1">
      <c r="A167" s="17"/>
      <c r="B167" s="11" t="s">
        <v>60</v>
      </c>
      <c r="C167" s="66"/>
      <c r="D167" s="41"/>
      <c r="E167" s="113" t="s">
        <v>61</v>
      </c>
      <c r="F167" s="95">
        <f>F168</f>
        <v>0</v>
      </c>
      <c r="G167" s="95">
        <f aca="true" t="shared" si="83" ref="G167:T169">G168</f>
        <v>598.90496</v>
      </c>
      <c r="H167" s="95">
        <f t="shared" si="83"/>
        <v>0</v>
      </c>
      <c r="I167" s="95">
        <f t="shared" si="83"/>
        <v>0</v>
      </c>
      <c r="J167" s="95">
        <f t="shared" si="83"/>
        <v>0</v>
      </c>
      <c r="K167" s="95">
        <f t="shared" si="83"/>
        <v>0</v>
      </c>
      <c r="L167" s="95">
        <f t="shared" si="83"/>
        <v>0</v>
      </c>
      <c r="M167" s="131">
        <f t="shared" si="83"/>
        <v>598.90496</v>
      </c>
      <c r="N167" s="95">
        <f t="shared" si="83"/>
        <v>0</v>
      </c>
      <c r="O167" s="184">
        <f t="shared" si="83"/>
        <v>0</v>
      </c>
      <c r="P167" s="95">
        <f t="shared" si="83"/>
        <v>0</v>
      </c>
      <c r="Q167" s="95">
        <f t="shared" si="83"/>
        <v>0</v>
      </c>
      <c r="R167" s="95">
        <f t="shared" si="83"/>
        <v>0</v>
      </c>
      <c r="S167" s="95">
        <f t="shared" si="83"/>
        <v>0</v>
      </c>
      <c r="T167" s="95">
        <f t="shared" si="83"/>
        <v>0</v>
      </c>
    </row>
    <row r="168" spans="1:20" s="21" customFormat="1" ht="27.75" customHeight="1" hidden="1">
      <c r="A168" s="17"/>
      <c r="B168" s="5"/>
      <c r="C168" s="63" t="s">
        <v>425</v>
      </c>
      <c r="D168" s="11"/>
      <c r="E168" s="84" t="s">
        <v>143</v>
      </c>
      <c r="F168" s="95">
        <f>F169</f>
        <v>0</v>
      </c>
      <c r="G168" s="95">
        <f t="shared" si="83"/>
        <v>598.90496</v>
      </c>
      <c r="H168" s="95">
        <f t="shared" si="83"/>
        <v>0</v>
      </c>
      <c r="I168" s="95">
        <f t="shared" si="83"/>
        <v>0</v>
      </c>
      <c r="J168" s="95">
        <f t="shared" si="83"/>
        <v>0</v>
      </c>
      <c r="K168" s="95">
        <f t="shared" si="83"/>
        <v>0</v>
      </c>
      <c r="L168" s="95">
        <f t="shared" si="83"/>
        <v>0</v>
      </c>
      <c r="M168" s="131">
        <f t="shared" si="83"/>
        <v>598.90496</v>
      </c>
      <c r="N168" s="95">
        <f t="shared" si="83"/>
        <v>0</v>
      </c>
      <c r="O168" s="184">
        <f t="shared" si="83"/>
        <v>0</v>
      </c>
      <c r="P168" s="95">
        <f t="shared" si="83"/>
        <v>0</v>
      </c>
      <c r="Q168" s="95">
        <f t="shared" si="83"/>
        <v>0</v>
      </c>
      <c r="R168" s="95">
        <f t="shared" si="83"/>
        <v>0</v>
      </c>
      <c r="S168" s="95">
        <f t="shared" si="83"/>
        <v>0</v>
      </c>
      <c r="T168" s="95">
        <f t="shared" si="83"/>
        <v>0</v>
      </c>
    </row>
    <row r="169" spans="1:20" s="21" customFormat="1" ht="38.25" customHeight="1" hidden="1">
      <c r="A169" s="17"/>
      <c r="B169" s="5"/>
      <c r="C169" s="66" t="s">
        <v>426</v>
      </c>
      <c r="D169" s="41"/>
      <c r="E169" s="57" t="s">
        <v>479</v>
      </c>
      <c r="F169" s="95">
        <f>F170</f>
        <v>0</v>
      </c>
      <c r="G169" s="79">
        <f t="shared" si="83"/>
        <v>598.90496</v>
      </c>
      <c r="H169" s="79">
        <f t="shared" si="83"/>
        <v>0</v>
      </c>
      <c r="I169" s="79">
        <f t="shared" si="83"/>
        <v>0</v>
      </c>
      <c r="J169" s="79">
        <f t="shared" si="83"/>
        <v>0</v>
      </c>
      <c r="K169" s="79">
        <f t="shared" si="83"/>
        <v>0</v>
      </c>
      <c r="L169" s="79">
        <f t="shared" si="83"/>
        <v>0</v>
      </c>
      <c r="M169" s="96">
        <f t="shared" si="83"/>
        <v>598.90496</v>
      </c>
      <c r="N169" s="95">
        <f t="shared" si="83"/>
        <v>0</v>
      </c>
      <c r="O169" s="184">
        <f t="shared" si="83"/>
        <v>0</v>
      </c>
      <c r="P169" s="95">
        <f t="shared" si="83"/>
        <v>0</v>
      </c>
      <c r="Q169" s="95">
        <f t="shared" si="83"/>
        <v>0</v>
      </c>
      <c r="R169" s="95">
        <f t="shared" si="83"/>
        <v>0</v>
      </c>
      <c r="S169" s="95">
        <f t="shared" si="83"/>
        <v>0</v>
      </c>
      <c r="T169" s="95">
        <f t="shared" si="83"/>
        <v>0</v>
      </c>
    </row>
    <row r="170" spans="1:20" s="21" customFormat="1" ht="27.75" customHeight="1" hidden="1">
      <c r="A170" s="17"/>
      <c r="B170" s="5"/>
      <c r="C170" s="66"/>
      <c r="D170" s="41" t="s">
        <v>3</v>
      </c>
      <c r="E170" s="67" t="s">
        <v>95</v>
      </c>
      <c r="F170" s="95"/>
      <c r="G170" s="93">
        <f>F170+SUM(H170:T170)</f>
        <v>598.90496</v>
      </c>
      <c r="H170" s="79"/>
      <c r="I170" s="79"/>
      <c r="J170" s="79"/>
      <c r="K170" s="79"/>
      <c r="L170" s="79"/>
      <c r="M170" s="96">
        <f>598.90496</f>
        <v>598.90496</v>
      </c>
      <c r="N170" s="95"/>
      <c r="O170" s="184"/>
      <c r="P170" s="79"/>
      <c r="Q170" s="79"/>
      <c r="R170" s="95"/>
      <c r="S170" s="95"/>
      <c r="T170" s="79"/>
    </row>
    <row r="171" spans="1:20" s="21" customFormat="1" ht="27.75" customHeight="1">
      <c r="A171" s="17"/>
      <c r="B171" s="5" t="s">
        <v>76</v>
      </c>
      <c r="C171" s="18"/>
      <c r="D171" s="18"/>
      <c r="E171" s="13" t="s">
        <v>77</v>
      </c>
      <c r="F171" s="95">
        <f>F172+F179</f>
        <v>0</v>
      </c>
      <c r="G171" s="95">
        <f aca="true" t="shared" si="84" ref="G171:T171">G172+G179</f>
        <v>750.2</v>
      </c>
      <c r="H171" s="95">
        <f t="shared" si="84"/>
        <v>0</v>
      </c>
      <c r="I171" s="95">
        <f t="shared" si="84"/>
        <v>0</v>
      </c>
      <c r="J171" s="95">
        <f t="shared" si="84"/>
        <v>0</v>
      </c>
      <c r="K171" s="95">
        <f t="shared" si="84"/>
        <v>0</v>
      </c>
      <c r="L171" s="95">
        <f t="shared" si="84"/>
        <v>62.8</v>
      </c>
      <c r="M171" s="131">
        <f t="shared" si="84"/>
        <v>0</v>
      </c>
      <c r="N171" s="95">
        <f t="shared" si="84"/>
        <v>0</v>
      </c>
      <c r="O171" s="184">
        <f t="shared" si="84"/>
        <v>687.4</v>
      </c>
      <c r="P171" s="95">
        <f t="shared" si="84"/>
        <v>0</v>
      </c>
      <c r="Q171" s="95">
        <f t="shared" si="84"/>
        <v>0</v>
      </c>
      <c r="R171" s="95">
        <f>R172+R179</f>
        <v>0</v>
      </c>
      <c r="S171" s="95">
        <f>S172+S179</f>
        <v>0</v>
      </c>
      <c r="T171" s="95">
        <f t="shared" si="84"/>
        <v>0</v>
      </c>
    </row>
    <row r="172" spans="1:20" s="21" customFormat="1" ht="61.5" customHeight="1">
      <c r="A172" s="17"/>
      <c r="B172" s="17"/>
      <c r="C172" s="63" t="s">
        <v>265</v>
      </c>
      <c r="D172" s="11"/>
      <c r="E172" s="60" t="s">
        <v>121</v>
      </c>
      <c r="F172" s="95">
        <f>F173</f>
        <v>0</v>
      </c>
      <c r="G172" s="95">
        <f aca="true" t="shared" si="85" ref="G172:O172">G173</f>
        <v>250</v>
      </c>
      <c r="H172" s="95">
        <f t="shared" si="85"/>
        <v>0</v>
      </c>
      <c r="I172" s="95">
        <f t="shared" si="85"/>
        <v>0</v>
      </c>
      <c r="J172" s="95">
        <f t="shared" si="85"/>
        <v>0</v>
      </c>
      <c r="K172" s="95">
        <f t="shared" si="85"/>
        <v>0</v>
      </c>
      <c r="L172" s="95">
        <f t="shared" si="85"/>
        <v>62.5</v>
      </c>
      <c r="M172" s="131">
        <f t="shared" si="85"/>
        <v>0</v>
      </c>
      <c r="N172" s="95">
        <f t="shared" si="85"/>
        <v>0</v>
      </c>
      <c r="O172" s="184">
        <f t="shared" si="85"/>
        <v>187.5</v>
      </c>
      <c r="P172" s="68"/>
      <c r="Q172" s="68"/>
      <c r="R172" s="95">
        <f>R173</f>
        <v>0</v>
      </c>
      <c r="S172" s="95">
        <f>S173</f>
        <v>0</v>
      </c>
      <c r="T172" s="68"/>
    </row>
    <row r="173" spans="1:20" s="21" customFormat="1" ht="27.75" customHeight="1">
      <c r="A173" s="17"/>
      <c r="B173" s="17"/>
      <c r="C173" s="82" t="s">
        <v>266</v>
      </c>
      <c r="D173" s="99"/>
      <c r="E173" s="61" t="s">
        <v>268</v>
      </c>
      <c r="F173" s="79">
        <f>F176+F174</f>
        <v>0</v>
      </c>
      <c r="G173" s="79">
        <f aca="true" t="shared" si="86" ref="G173:O173">G176+G174</f>
        <v>250</v>
      </c>
      <c r="H173" s="79">
        <f t="shared" si="86"/>
        <v>0</v>
      </c>
      <c r="I173" s="79">
        <f t="shared" si="86"/>
        <v>0</v>
      </c>
      <c r="J173" s="79">
        <f t="shared" si="86"/>
        <v>0</v>
      </c>
      <c r="K173" s="79">
        <f t="shared" si="86"/>
        <v>0</v>
      </c>
      <c r="L173" s="79">
        <f t="shared" si="86"/>
        <v>62.5</v>
      </c>
      <c r="M173" s="96">
        <f t="shared" si="86"/>
        <v>0</v>
      </c>
      <c r="N173" s="79">
        <f t="shared" si="86"/>
        <v>0</v>
      </c>
      <c r="O173" s="115">
        <f t="shared" si="86"/>
        <v>187.5</v>
      </c>
      <c r="P173" s="79">
        <f>P176+P174</f>
        <v>0</v>
      </c>
      <c r="Q173" s="79">
        <f>Q176+Q174</f>
        <v>0</v>
      </c>
      <c r="R173" s="79">
        <f>R176+R174</f>
        <v>0</v>
      </c>
      <c r="S173" s="79">
        <f>S176+S174</f>
        <v>0</v>
      </c>
      <c r="T173" s="79">
        <f>T176+T174</f>
        <v>0</v>
      </c>
    </row>
    <row r="174" spans="1:20" s="21" customFormat="1" ht="53.25" customHeight="1">
      <c r="A174" s="17"/>
      <c r="B174" s="17"/>
      <c r="C174" s="66" t="s">
        <v>467</v>
      </c>
      <c r="D174" s="41"/>
      <c r="E174" s="67" t="s">
        <v>460</v>
      </c>
      <c r="F174" s="79">
        <f>F175</f>
        <v>0</v>
      </c>
      <c r="G174" s="79">
        <f aca="true" t="shared" si="87" ref="G174:O174">G175</f>
        <v>0</v>
      </c>
      <c r="H174" s="79">
        <f t="shared" si="87"/>
        <v>0</v>
      </c>
      <c r="I174" s="79">
        <f t="shared" si="87"/>
        <v>0</v>
      </c>
      <c r="J174" s="79">
        <f t="shared" si="87"/>
        <v>0</v>
      </c>
      <c r="K174" s="79">
        <f t="shared" si="87"/>
        <v>0</v>
      </c>
      <c r="L174" s="79">
        <f t="shared" si="87"/>
        <v>0</v>
      </c>
      <c r="M174" s="96">
        <f t="shared" si="87"/>
        <v>0</v>
      </c>
      <c r="N174" s="79">
        <f t="shared" si="87"/>
        <v>0</v>
      </c>
      <c r="O174" s="115">
        <f t="shared" si="87"/>
        <v>187.5</v>
      </c>
      <c r="P174" s="68"/>
      <c r="Q174" s="68"/>
      <c r="R174" s="79">
        <f>R175</f>
        <v>0</v>
      </c>
      <c r="S174" s="79">
        <f>S175</f>
        <v>-187.5</v>
      </c>
      <c r="T174" s="68"/>
    </row>
    <row r="175" spans="1:20" s="21" customFormat="1" ht="27.75" customHeight="1">
      <c r="A175" s="17"/>
      <c r="B175" s="17"/>
      <c r="C175" s="66"/>
      <c r="D175" s="41" t="s">
        <v>3</v>
      </c>
      <c r="E175" s="67" t="s">
        <v>95</v>
      </c>
      <c r="F175" s="79"/>
      <c r="G175" s="93">
        <f>F175+SUM(H175:T175)</f>
        <v>0</v>
      </c>
      <c r="H175" s="93"/>
      <c r="I175" s="93"/>
      <c r="J175" s="93"/>
      <c r="K175" s="93"/>
      <c r="L175" s="68"/>
      <c r="M175" s="70"/>
      <c r="N175" s="68"/>
      <c r="O175" s="51">
        <v>187.5</v>
      </c>
      <c r="P175" s="68"/>
      <c r="Q175" s="68"/>
      <c r="R175" s="68"/>
      <c r="S175" s="68">
        <v>-187.5</v>
      </c>
      <c r="T175" s="68"/>
    </row>
    <row r="176" spans="1:20" s="21" customFormat="1" ht="45" customHeight="1">
      <c r="A176" s="17"/>
      <c r="B176" s="17"/>
      <c r="C176" s="66" t="s">
        <v>459</v>
      </c>
      <c r="D176" s="41"/>
      <c r="E176" s="57" t="s">
        <v>460</v>
      </c>
      <c r="F176" s="79">
        <f>F177+F178</f>
        <v>0</v>
      </c>
      <c r="G176" s="79">
        <f aca="true" t="shared" si="88" ref="G176:O176">G177+G178</f>
        <v>250</v>
      </c>
      <c r="H176" s="79">
        <f t="shared" si="88"/>
        <v>0</v>
      </c>
      <c r="I176" s="79">
        <f t="shared" si="88"/>
        <v>0</v>
      </c>
      <c r="J176" s="79">
        <f t="shared" si="88"/>
        <v>0</v>
      </c>
      <c r="K176" s="79">
        <f t="shared" si="88"/>
        <v>0</v>
      </c>
      <c r="L176" s="79">
        <f t="shared" si="88"/>
        <v>62.5</v>
      </c>
      <c r="M176" s="96">
        <f t="shared" si="88"/>
        <v>0</v>
      </c>
      <c r="N176" s="79">
        <f t="shared" si="88"/>
        <v>0</v>
      </c>
      <c r="O176" s="115">
        <f t="shared" si="88"/>
        <v>0</v>
      </c>
      <c r="P176" s="68"/>
      <c r="Q176" s="68"/>
      <c r="R176" s="79">
        <f>R177+R178</f>
        <v>0</v>
      </c>
      <c r="S176" s="79">
        <f>S177+S178</f>
        <v>187.5</v>
      </c>
      <c r="T176" s="68"/>
    </row>
    <row r="177" spans="1:20" s="21" customFormat="1" ht="27.75" customHeight="1">
      <c r="A177" s="17"/>
      <c r="B177" s="17"/>
      <c r="C177" s="66"/>
      <c r="D177" s="41" t="s">
        <v>3</v>
      </c>
      <c r="E177" s="67" t="s">
        <v>95</v>
      </c>
      <c r="F177" s="79"/>
      <c r="G177" s="93">
        <f>F177+SUM(H177:T177)</f>
        <v>250</v>
      </c>
      <c r="H177" s="68"/>
      <c r="I177" s="68"/>
      <c r="J177" s="68"/>
      <c r="K177" s="69"/>
      <c r="L177" s="68">
        <v>62.5</v>
      </c>
      <c r="M177" s="70"/>
      <c r="N177" s="68"/>
      <c r="O177" s="51"/>
      <c r="P177" s="68"/>
      <c r="Q177" s="68"/>
      <c r="R177" s="68"/>
      <c r="S177" s="68">
        <v>187.5</v>
      </c>
      <c r="T177" s="68"/>
    </row>
    <row r="178" spans="1:20" s="21" customFormat="1" ht="27.75" customHeight="1" hidden="1">
      <c r="A178" s="17"/>
      <c r="B178" s="17"/>
      <c r="C178" s="66"/>
      <c r="D178" s="41" t="s">
        <v>11</v>
      </c>
      <c r="E178" s="67" t="s">
        <v>12</v>
      </c>
      <c r="F178" s="79"/>
      <c r="G178" s="93">
        <f>F178+SUM(H178:T178)</f>
        <v>0</v>
      </c>
      <c r="H178" s="68"/>
      <c r="I178" s="68"/>
      <c r="J178" s="68"/>
      <c r="K178" s="69"/>
      <c r="L178" s="68"/>
      <c r="M178" s="70"/>
      <c r="N178" s="68"/>
      <c r="O178" s="51"/>
      <c r="P178" s="68"/>
      <c r="Q178" s="68"/>
      <c r="R178" s="68"/>
      <c r="S178" s="68"/>
      <c r="T178" s="68"/>
    </row>
    <row r="179" spans="1:20" s="21" customFormat="1" ht="27.75" customHeight="1">
      <c r="A179" s="17"/>
      <c r="B179" s="17"/>
      <c r="C179" s="63" t="s">
        <v>425</v>
      </c>
      <c r="D179" s="11"/>
      <c r="E179" s="84" t="s">
        <v>143</v>
      </c>
      <c r="F179" s="95">
        <f>F180+F182</f>
        <v>0</v>
      </c>
      <c r="G179" s="95">
        <f aca="true" t="shared" si="89" ref="G179:T179">G180+G182</f>
        <v>500.2</v>
      </c>
      <c r="H179" s="95">
        <f t="shared" si="89"/>
        <v>0</v>
      </c>
      <c r="I179" s="95">
        <f t="shared" si="89"/>
        <v>0</v>
      </c>
      <c r="J179" s="95">
        <f t="shared" si="89"/>
        <v>0</v>
      </c>
      <c r="K179" s="95">
        <f t="shared" si="89"/>
        <v>0</v>
      </c>
      <c r="L179" s="95">
        <f t="shared" si="89"/>
        <v>0.3</v>
      </c>
      <c r="M179" s="95">
        <f t="shared" si="89"/>
        <v>0</v>
      </c>
      <c r="N179" s="95">
        <f t="shared" si="89"/>
        <v>0</v>
      </c>
      <c r="O179" s="184">
        <f t="shared" si="89"/>
        <v>499.9</v>
      </c>
      <c r="P179" s="95">
        <f t="shared" si="89"/>
        <v>0</v>
      </c>
      <c r="Q179" s="95">
        <f t="shared" si="89"/>
        <v>0</v>
      </c>
      <c r="R179" s="95">
        <f>R180+R182</f>
        <v>0</v>
      </c>
      <c r="S179" s="95">
        <f>S180+S182</f>
        <v>0</v>
      </c>
      <c r="T179" s="95">
        <f t="shared" si="89"/>
        <v>0</v>
      </c>
    </row>
    <row r="180" spans="1:20" s="21" customFormat="1" ht="27.75" customHeight="1">
      <c r="A180" s="17"/>
      <c r="B180" s="17"/>
      <c r="C180" s="66" t="s">
        <v>541</v>
      </c>
      <c r="D180" s="41"/>
      <c r="E180" s="67" t="s">
        <v>542</v>
      </c>
      <c r="F180" s="79">
        <f>F181</f>
        <v>0</v>
      </c>
      <c r="G180" s="79">
        <f aca="true" t="shared" si="90" ref="G180:T180">G181</f>
        <v>500.2</v>
      </c>
      <c r="H180" s="79">
        <f t="shared" si="90"/>
        <v>0</v>
      </c>
      <c r="I180" s="79">
        <f t="shared" si="90"/>
        <v>0</v>
      </c>
      <c r="J180" s="79">
        <f t="shared" si="90"/>
        <v>0</v>
      </c>
      <c r="K180" s="79">
        <f t="shared" si="90"/>
        <v>0</v>
      </c>
      <c r="L180" s="79">
        <f t="shared" si="90"/>
        <v>0.3</v>
      </c>
      <c r="M180" s="96">
        <f t="shared" si="90"/>
        <v>0</v>
      </c>
      <c r="N180" s="79">
        <f t="shared" si="90"/>
        <v>0</v>
      </c>
      <c r="O180" s="115">
        <f t="shared" si="90"/>
        <v>49.9</v>
      </c>
      <c r="P180" s="79">
        <f t="shared" si="90"/>
        <v>0</v>
      </c>
      <c r="Q180" s="79">
        <f t="shared" si="90"/>
        <v>0</v>
      </c>
      <c r="R180" s="79">
        <f t="shared" si="90"/>
        <v>0</v>
      </c>
      <c r="S180" s="79">
        <f t="shared" si="90"/>
        <v>450</v>
      </c>
      <c r="T180" s="79">
        <f t="shared" si="90"/>
        <v>0</v>
      </c>
    </row>
    <row r="181" spans="1:20" s="21" customFormat="1" ht="27.75" customHeight="1">
      <c r="A181" s="17"/>
      <c r="B181" s="17"/>
      <c r="C181" s="66"/>
      <c r="D181" s="41" t="s">
        <v>3</v>
      </c>
      <c r="E181" s="67" t="s">
        <v>95</v>
      </c>
      <c r="F181" s="79"/>
      <c r="G181" s="93">
        <f>F181+SUM(H181:T181)</f>
        <v>500.2</v>
      </c>
      <c r="H181" s="68"/>
      <c r="I181" s="68"/>
      <c r="J181" s="68"/>
      <c r="K181" s="69"/>
      <c r="L181" s="68">
        <v>0.3</v>
      </c>
      <c r="M181" s="70"/>
      <c r="N181" s="68"/>
      <c r="O181" s="51">
        <v>49.9</v>
      </c>
      <c r="P181" s="68"/>
      <c r="Q181" s="68"/>
      <c r="R181" s="68"/>
      <c r="S181" s="68">
        <v>450</v>
      </c>
      <c r="T181" s="68"/>
    </row>
    <row r="182" spans="1:20" s="21" customFormat="1" ht="20.25" customHeight="1">
      <c r="A182" s="17"/>
      <c r="B182" s="17"/>
      <c r="C182" s="66" t="s">
        <v>549</v>
      </c>
      <c r="D182" s="41"/>
      <c r="E182" s="67" t="s">
        <v>542</v>
      </c>
      <c r="F182" s="79">
        <f>F183</f>
        <v>0</v>
      </c>
      <c r="G182" s="79">
        <f aca="true" t="shared" si="91" ref="G182:T182">G183</f>
        <v>0</v>
      </c>
      <c r="H182" s="79">
        <f t="shared" si="91"/>
        <v>0</v>
      </c>
      <c r="I182" s="79">
        <f t="shared" si="91"/>
        <v>0</v>
      </c>
      <c r="J182" s="79">
        <f t="shared" si="91"/>
        <v>0</v>
      </c>
      <c r="K182" s="79">
        <f t="shared" si="91"/>
        <v>0</v>
      </c>
      <c r="L182" s="79">
        <f t="shared" si="91"/>
        <v>0</v>
      </c>
      <c r="M182" s="79">
        <f t="shared" si="91"/>
        <v>0</v>
      </c>
      <c r="N182" s="79">
        <f t="shared" si="91"/>
        <v>0</v>
      </c>
      <c r="O182" s="115">
        <f t="shared" si="91"/>
        <v>450</v>
      </c>
      <c r="P182" s="79">
        <f t="shared" si="91"/>
        <v>0</v>
      </c>
      <c r="Q182" s="79">
        <f t="shared" si="91"/>
        <v>0</v>
      </c>
      <c r="R182" s="79">
        <f t="shared" si="91"/>
        <v>0</v>
      </c>
      <c r="S182" s="79">
        <f t="shared" si="91"/>
        <v>-450</v>
      </c>
      <c r="T182" s="79">
        <f t="shared" si="91"/>
        <v>0</v>
      </c>
    </row>
    <row r="183" spans="1:20" s="21" customFormat="1" ht="28.5" customHeight="1">
      <c r="A183" s="17"/>
      <c r="B183" s="17"/>
      <c r="C183" s="66"/>
      <c r="D183" s="41" t="s">
        <v>3</v>
      </c>
      <c r="E183" s="67" t="s">
        <v>95</v>
      </c>
      <c r="F183" s="79"/>
      <c r="G183" s="93">
        <f>F183+SUM(H183:T183)</f>
        <v>0</v>
      </c>
      <c r="H183" s="68"/>
      <c r="I183" s="68"/>
      <c r="J183" s="68"/>
      <c r="K183" s="69"/>
      <c r="L183" s="68"/>
      <c r="M183" s="70"/>
      <c r="N183" s="68"/>
      <c r="O183" s="51">
        <f>450</f>
        <v>450</v>
      </c>
      <c r="P183" s="68"/>
      <c r="Q183" s="68"/>
      <c r="R183" s="68"/>
      <c r="S183" s="68">
        <v>-450</v>
      </c>
      <c r="T183" s="68"/>
    </row>
    <row r="184" spans="1:20" ht="12" hidden="1">
      <c r="A184" s="5"/>
      <c r="B184" s="5" t="s">
        <v>50</v>
      </c>
      <c r="C184" s="16"/>
      <c r="D184" s="5"/>
      <c r="E184" s="13" t="s">
        <v>51</v>
      </c>
      <c r="F184" s="119">
        <f aca="true" t="shared" si="92" ref="F184:T184">F185+F189</f>
        <v>1146</v>
      </c>
      <c r="G184" s="119">
        <f t="shared" si="92"/>
        <v>1114.1460000000002</v>
      </c>
      <c r="H184" s="26">
        <f t="shared" si="92"/>
        <v>0</v>
      </c>
      <c r="I184" s="26">
        <f t="shared" si="92"/>
        <v>31.6</v>
      </c>
      <c r="J184" s="26">
        <f t="shared" si="92"/>
        <v>0</v>
      </c>
      <c r="K184" s="26">
        <f t="shared" si="92"/>
        <v>0</v>
      </c>
      <c r="L184" s="26">
        <f t="shared" si="92"/>
        <v>0</v>
      </c>
      <c r="M184" s="158">
        <f t="shared" si="92"/>
        <v>0</v>
      </c>
      <c r="N184" s="26">
        <f t="shared" si="92"/>
        <v>0</v>
      </c>
      <c r="O184" s="189">
        <f t="shared" si="92"/>
        <v>-63.454</v>
      </c>
      <c r="P184" s="26">
        <f t="shared" si="92"/>
        <v>0</v>
      </c>
      <c r="Q184" s="26">
        <f t="shared" si="92"/>
        <v>0</v>
      </c>
      <c r="R184" s="26">
        <f>R185+R189</f>
        <v>0</v>
      </c>
      <c r="S184" s="26">
        <f>S185+S189</f>
        <v>0</v>
      </c>
      <c r="T184" s="26">
        <f t="shared" si="92"/>
        <v>0</v>
      </c>
    </row>
    <row r="185" spans="1:20" ht="12" hidden="1">
      <c r="A185" s="5"/>
      <c r="B185" s="5" t="s">
        <v>150</v>
      </c>
      <c r="C185" s="16"/>
      <c r="D185" s="5"/>
      <c r="E185" s="13" t="s">
        <v>149</v>
      </c>
      <c r="F185" s="119">
        <f>F186</f>
        <v>246</v>
      </c>
      <c r="G185" s="119">
        <f aca="true" t="shared" si="93" ref="G185:T185">G186</f>
        <v>277.6</v>
      </c>
      <c r="H185" s="26">
        <f t="shared" si="93"/>
        <v>0</v>
      </c>
      <c r="I185" s="26">
        <f t="shared" si="93"/>
        <v>31.6</v>
      </c>
      <c r="J185" s="26">
        <f t="shared" si="93"/>
        <v>0</v>
      </c>
      <c r="K185" s="26">
        <f t="shared" si="93"/>
        <v>0</v>
      </c>
      <c r="L185" s="26">
        <f t="shared" si="93"/>
        <v>0</v>
      </c>
      <c r="M185" s="158">
        <f t="shared" si="93"/>
        <v>0</v>
      </c>
      <c r="N185" s="26">
        <f t="shared" si="93"/>
        <v>0</v>
      </c>
      <c r="O185" s="189">
        <f t="shared" si="93"/>
        <v>0</v>
      </c>
      <c r="P185" s="26">
        <f t="shared" si="93"/>
        <v>0</v>
      </c>
      <c r="Q185" s="26">
        <f t="shared" si="93"/>
        <v>0</v>
      </c>
      <c r="R185" s="26">
        <f t="shared" si="93"/>
        <v>0</v>
      </c>
      <c r="S185" s="26">
        <f t="shared" si="93"/>
        <v>0</v>
      </c>
      <c r="T185" s="26">
        <f t="shared" si="93"/>
        <v>0</v>
      </c>
    </row>
    <row r="186" spans="1:20" ht="12.75" hidden="1">
      <c r="A186" s="5"/>
      <c r="B186" s="5"/>
      <c r="C186" s="63" t="s">
        <v>432</v>
      </c>
      <c r="D186" s="11"/>
      <c r="E186" s="111" t="s">
        <v>146</v>
      </c>
      <c r="F186" s="95">
        <f>F187</f>
        <v>246</v>
      </c>
      <c r="G186" s="95">
        <f aca="true" t="shared" si="94" ref="G186:T187">G187</f>
        <v>277.6</v>
      </c>
      <c r="H186" s="73">
        <f t="shared" si="94"/>
        <v>0</v>
      </c>
      <c r="I186" s="73">
        <f t="shared" si="94"/>
        <v>31.6</v>
      </c>
      <c r="J186" s="73">
        <f t="shared" si="94"/>
        <v>0</v>
      </c>
      <c r="K186" s="73">
        <f t="shared" si="94"/>
        <v>0</v>
      </c>
      <c r="L186" s="73">
        <f t="shared" si="94"/>
        <v>0</v>
      </c>
      <c r="M186" s="77">
        <f t="shared" si="94"/>
        <v>0</v>
      </c>
      <c r="N186" s="73">
        <f t="shared" si="94"/>
        <v>0</v>
      </c>
      <c r="O186" s="50">
        <f t="shared" si="94"/>
        <v>0</v>
      </c>
      <c r="P186" s="73">
        <f t="shared" si="94"/>
        <v>0</v>
      </c>
      <c r="Q186" s="73">
        <f t="shared" si="94"/>
        <v>0</v>
      </c>
      <c r="R186" s="73">
        <f t="shared" si="94"/>
        <v>0</v>
      </c>
      <c r="S186" s="73">
        <f t="shared" si="94"/>
        <v>0</v>
      </c>
      <c r="T186" s="73">
        <f t="shared" si="94"/>
        <v>0</v>
      </c>
    </row>
    <row r="187" spans="1:20" ht="51" hidden="1">
      <c r="A187" s="17"/>
      <c r="B187" s="17"/>
      <c r="C187" s="66" t="s">
        <v>436</v>
      </c>
      <c r="D187" s="41"/>
      <c r="E187" s="75" t="s">
        <v>147</v>
      </c>
      <c r="F187" s="79">
        <f>F188</f>
        <v>246</v>
      </c>
      <c r="G187" s="79">
        <f t="shared" si="94"/>
        <v>277.6</v>
      </c>
      <c r="H187" s="68">
        <f t="shared" si="94"/>
        <v>0</v>
      </c>
      <c r="I187" s="68">
        <f t="shared" si="94"/>
        <v>31.6</v>
      </c>
      <c r="J187" s="68">
        <f t="shared" si="94"/>
        <v>0</v>
      </c>
      <c r="K187" s="68">
        <f t="shared" si="94"/>
        <v>0</v>
      </c>
      <c r="L187" s="68">
        <f t="shared" si="94"/>
        <v>0</v>
      </c>
      <c r="M187" s="70">
        <f t="shared" si="94"/>
        <v>0</v>
      </c>
      <c r="N187" s="68">
        <f t="shared" si="94"/>
        <v>0</v>
      </c>
      <c r="O187" s="51">
        <f t="shared" si="94"/>
        <v>0</v>
      </c>
      <c r="P187" s="68">
        <f t="shared" si="94"/>
        <v>0</v>
      </c>
      <c r="Q187" s="68">
        <f t="shared" si="94"/>
        <v>0</v>
      </c>
      <c r="R187" s="68">
        <f t="shared" si="94"/>
        <v>0</v>
      </c>
      <c r="S187" s="68">
        <f t="shared" si="94"/>
        <v>0</v>
      </c>
      <c r="T187" s="68">
        <f t="shared" si="94"/>
        <v>0</v>
      </c>
    </row>
    <row r="188" spans="1:20" ht="12.75" hidden="1">
      <c r="A188" s="17"/>
      <c r="B188" s="17"/>
      <c r="C188" s="66"/>
      <c r="D188" s="41" t="s">
        <v>6</v>
      </c>
      <c r="E188" s="67" t="s">
        <v>7</v>
      </c>
      <c r="F188" s="79">
        <v>246</v>
      </c>
      <c r="G188" s="93">
        <f>F188+SUM(H188:T188)</f>
        <v>277.6</v>
      </c>
      <c r="H188" s="68"/>
      <c r="I188" s="68">
        <v>31.6</v>
      </c>
      <c r="J188" s="69"/>
      <c r="K188" s="69"/>
      <c r="L188" s="68"/>
      <c r="M188" s="70"/>
      <c r="N188" s="68"/>
      <c r="O188" s="51"/>
      <c r="P188" s="68"/>
      <c r="Q188" s="68"/>
      <c r="R188" s="68"/>
      <c r="S188" s="68"/>
      <c r="T188" s="68"/>
    </row>
    <row r="189" spans="1:20" ht="12" hidden="1">
      <c r="A189" s="17"/>
      <c r="B189" s="5" t="s">
        <v>52</v>
      </c>
      <c r="C189" s="16"/>
      <c r="D189" s="5"/>
      <c r="E189" s="13" t="s">
        <v>53</v>
      </c>
      <c r="F189" s="119">
        <f>F190</f>
        <v>900</v>
      </c>
      <c r="G189" s="119">
        <f>G190</f>
        <v>836.546</v>
      </c>
      <c r="H189" s="26">
        <f aca="true" t="shared" si="95" ref="G189:T193">H190</f>
        <v>0</v>
      </c>
      <c r="I189" s="26">
        <f t="shared" si="95"/>
        <v>0</v>
      </c>
      <c r="J189" s="26">
        <f t="shared" si="95"/>
        <v>0</v>
      </c>
      <c r="K189" s="26">
        <f t="shared" si="95"/>
        <v>0</v>
      </c>
      <c r="L189" s="26">
        <f t="shared" si="95"/>
        <v>0</v>
      </c>
      <c r="M189" s="158">
        <f t="shared" si="95"/>
        <v>0</v>
      </c>
      <c r="N189" s="26">
        <f t="shared" si="95"/>
        <v>0</v>
      </c>
      <c r="O189" s="189">
        <f t="shared" si="95"/>
        <v>-63.454</v>
      </c>
      <c r="P189" s="26">
        <f t="shared" si="95"/>
        <v>0</v>
      </c>
      <c r="Q189" s="26">
        <f t="shared" si="95"/>
        <v>0</v>
      </c>
      <c r="R189" s="26">
        <f t="shared" si="95"/>
        <v>0</v>
      </c>
      <c r="S189" s="26">
        <f t="shared" si="95"/>
        <v>0</v>
      </c>
      <c r="T189" s="26">
        <f t="shared" si="95"/>
        <v>0</v>
      </c>
    </row>
    <row r="190" spans="1:20" ht="25.5" hidden="1">
      <c r="A190" s="17"/>
      <c r="B190" s="5"/>
      <c r="C190" s="63" t="s">
        <v>324</v>
      </c>
      <c r="D190" s="11"/>
      <c r="E190" s="60" t="s">
        <v>129</v>
      </c>
      <c r="F190" s="94">
        <f>F191</f>
        <v>900</v>
      </c>
      <c r="G190" s="94">
        <f t="shared" si="95"/>
        <v>836.546</v>
      </c>
      <c r="H190" s="71">
        <f t="shared" si="95"/>
        <v>0</v>
      </c>
      <c r="I190" s="71">
        <f t="shared" si="95"/>
        <v>0</v>
      </c>
      <c r="J190" s="71">
        <f t="shared" si="95"/>
        <v>0</v>
      </c>
      <c r="K190" s="71">
        <f t="shared" si="95"/>
        <v>0</v>
      </c>
      <c r="L190" s="71">
        <f t="shared" si="95"/>
        <v>0</v>
      </c>
      <c r="M190" s="156">
        <f t="shared" si="95"/>
        <v>0</v>
      </c>
      <c r="N190" s="71">
        <f t="shared" si="95"/>
        <v>0</v>
      </c>
      <c r="O190" s="190">
        <f t="shared" si="95"/>
        <v>-63.454</v>
      </c>
      <c r="P190" s="71">
        <f t="shared" si="95"/>
        <v>0</v>
      </c>
      <c r="Q190" s="71">
        <f t="shared" si="95"/>
        <v>0</v>
      </c>
      <c r="R190" s="71">
        <f t="shared" si="95"/>
        <v>0</v>
      </c>
      <c r="S190" s="71">
        <f t="shared" si="95"/>
        <v>0</v>
      </c>
      <c r="T190" s="71">
        <f t="shared" si="95"/>
        <v>0</v>
      </c>
    </row>
    <row r="191" spans="1:20" ht="25.5" hidden="1">
      <c r="A191" s="17"/>
      <c r="B191" s="5"/>
      <c r="C191" s="82" t="s">
        <v>325</v>
      </c>
      <c r="D191" s="41"/>
      <c r="E191" s="61" t="s">
        <v>130</v>
      </c>
      <c r="F191" s="79">
        <f>F192</f>
        <v>900</v>
      </c>
      <c r="G191" s="79">
        <f t="shared" si="95"/>
        <v>836.546</v>
      </c>
      <c r="H191" s="68">
        <f t="shared" si="95"/>
        <v>0</v>
      </c>
      <c r="I191" s="68">
        <f t="shared" si="95"/>
        <v>0</v>
      </c>
      <c r="J191" s="68">
        <f t="shared" si="95"/>
        <v>0</v>
      </c>
      <c r="K191" s="68">
        <f t="shared" si="95"/>
        <v>0</v>
      </c>
      <c r="L191" s="68">
        <f t="shared" si="95"/>
        <v>0</v>
      </c>
      <c r="M191" s="70">
        <f t="shared" si="95"/>
        <v>0</v>
      </c>
      <c r="N191" s="68">
        <f t="shared" si="95"/>
        <v>0</v>
      </c>
      <c r="O191" s="51">
        <f t="shared" si="95"/>
        <v>-63.454</v>
      </c>
      <c r="P191" s="68">
        <f t="shared" si="95"/>
        <v>0</v>
      </c>
      <c r="Q191" s="68">
        <f t="shared" si="95"/>
        <v>0</v>
      </c>
      <c r="R191" s="68">
        <f t="shared" si="95"/>
        <v>0</v>
      </c>
      <c r="S191" s="68">
        <f t="shared" si="95"/>
        <v>0</v>
      </c>
      <c r="T191" s="68">
        <f t="shared" si="95"/>
        <v>0</v>
      </c>
    </row>
    <row r="192" spans="1:20" ht="25.5" hidden="1">
      <c r="A192" s="17"/>
      <c r="B192" s="5"/>
      <c r="C192" s="66" t="s">
        <v>326</v>
      </c>
      <c r="D192" s="41"/>
      <c r="E192" s="57" t="s">
        <v>331</v>
      </c>
      <c r="F192" s="79">
        <f>F193+F195+F197</f>
        <v>900</v>
      </c>
      <c r="G192" s="96">
        <f aca="true" t="shared" si="96" ref="G192:T192">G193+G195+G197</f>
        <v>836.546</v>
      </c>
      <c r="H192" s="79">
        <f t="shared" si="96"/>
        <v>0</v>
      </c>
      <c r="I192" s="79">
        <f t="shared" si="96"/>
        <v>0</v>
      </c>
      <c r="J192" s="79">
        <f t="shared" si="96"/>
        <v>0</v>
      </c>
      <c r="K192" s="79">
        <f t="shared" si="96"/>
        <v>0</v>
      </c>
      <c r="L192" s="79">
        <f t="shared" si="96"/>
        <v>0</v>
      </c>
      <c r="M192" s="79">
        <f t="shared" si="96"/>
        <v>0</v>
      </c>
      <c r="N192" s="79">
        <f t="shared" si="96"/>
        <v>0</v>
      </c>
      <c r="O192" s="115">
        <f t="shared" si="96"/>
        <v>-63.454</v>
      </c>
      <c r="P192" s="79">
        <f t="shared" si="96"/>
        <v>0</v>
      </c>
      <c r="Q192" s="79">
        <f t="shared" si="96"/>
        <v>0</v>
      </c>
      <c r="R192" s="79">
        <f>R193+R195+R197</f>
        <v>0</v>
      </c>
      <c r="S192" s="79">
        <f>S193+S195+S197</f>
        <v>0</v>
      </c>
      <c r="T192" s="79">
        <f t="shared" si="96"/>
        <v>0</v>
      </c>
    </row>
    <row r="193" spans="1:20" ht="38.25" hidden="1">
      <c r="A193" s="17"/>
      <c r="B193" s="17"/>
      <c r="C193" s="66" t="s">
        <v>327</v>
      </c>
      <c r="D193" s="41"/>
      <c r="E193" s="57" t="s">
        <v>173</v>
      </c>
      <c r="F193" s="79">
        <f>F194</f>
        <v>0</v>
      </c>
      <c r="G193" s="79">
        <f t="shared" si="95"/>
        <v>0</v>
      </c>
      <c r="H193" s="68">
        <f t="shared" si="95"/>
        <v>0</v>
      </c>
      <c r="I193" s="68">
        <f t="shared" si="95"/>
        <v>0</v>
      </c>
      <c r="J193" s="68">
        <f t="shared" si="95"/>
        <v>0</v>
      </c>
      <c r="K193" s="68">
        <f t="shared" si="95"/>
        <v>0</v>
      </c>
      <c r="L193" s="68">
        <f t="shared" si="95"/>
        <v>0</v>
      </c>
      <c r="M193" s="70">
        <f t="shared" si="95"/>
        <v>0</v>
      </c>
      <c r="N193" s="68">
        <f t="shared" si="95"/>
        <v>0</v>
      </c>
      <c r="O193" s="51">
        <f t="shared" si="95"/>
        <v>0</v>
      </c>
      <c r="P193" s="68">
        <f t="shared" si="95"/>
        <v>0</v>
      </c>
      <c r="Q193" s="68">
        <f t="shared" si="95"/>
        <v>0</v>
      </c>
      <c r="R193" s="68">
        <f t="shared" si="95"/>
        <v>0</v>
      </c>
      <c r="S193" s="68">
        <f t="shared" si="95"/>
        <v>0</v>
      </c>
      <c r="T193" s="68">
        <f t="shared" si="95"/>
        <v>0</v>
      </c>
    </row>
    <row r="194" spans="1:20" ht="12.75" hidden="1">
      <c r="A194" s="17"/>
      <c r="B194" s="17"/>
      <c r="C194" s="66"/>
      <c r="D194" s="41" t="s">
        <v>9</v>
      </c>
      <c r="E194" s="67" t="s">
        <v>37</v>
      </c>
      <c r="F194" s="79"/>
      <c r="G194" s="93">
        <f>F194+SUM(H194:T194)</f>
        <v>0</v>
      </c>
      <c r="H194" s="68"/>
      <c r="I194" s="68"/>
      <c r="J194" s="69"/>
      <c r="K194" s="69"/>
      <c r="L194" s="68"/>
      <c r="M194" s="70"/>
      <c r="N194" s="68"/>
      <c r="O194" s="51"/>
      <c r="P194" s="68"/>
      <c r="Q194" s="68"/>
      <c r="R194" s="68"/>
      <c r="S194" s="68"/>
      <c r="T194" s="68"/>
    </row>
    <row r="195" spans="1:20" ht="25.5" hidden="1">
      <c r="A195" s="17"/>
      <c r="B195" s="17"/>
      <c r="C195" s="66" t="s">
        <v>476</v>
      </c>
      <c r="D195" s="41"/>
      <c r="E195" s="67" t="s">
        <v>477</v>
      </c>
      <c r="F195" s="79">
        <f>F196</f>
        <v>900</v>
      </c>
      <c r="G195" s="79">
        <f aca="true" t="shared" si="97" ref="G195:T195">G196</f>
        <v>0</v>
      </c>
      <c r="H195" s="79">
        <f t="shared" si="97"/>
        <v>0</v>
      </c>
      <c r="I195" s="79">
        <f t="shared" si="97"/>
        <v>0</v>
      </c>
      <c r="J195" s="79">
        <f t="shared" si="97"/>
        <v>0</v>
      </c>
      <c r="K195" s="79">
        <f t="shared" si="97"/>
        <v>0</v>
      </c>
      <c r="L195" s="79">
        <f t="shared" si="97"/>
        <v>0</v>
      </c>
      <c r="M195" s="96">
        <f t="shared" si="97"/>
        <v>0</v>
      </c>
      <c r="N195" s="79">
        <f t="shared" si="97"/>
        <v>-900</v>
      </c>
      <c r="O195" s="115">
        <f t="shared" si="97"/>
        <v>0</v>
      </c>
      <c r="P195" s="79">
        <f t="shared" si="97"/>
        <v>0</v>
      </c>
      <c r="Q195" s="79">
        <f t="shared" si="97"/>
        <v>0</v>
      </c>
      <c r="R195" s="79">
        <f t="shared" si="97"/>
        <v>0</v>
      </c>
      <c r="S195" s="79">
        <f t="shared" si="97"/>
        <v>0</v>
      </c>
      <c r="T195" s="79">
        <f t="shared" si="97"/>
        <v>0</v>
      </c>
    </row>
    <row r="196" spans="1:20" ht="12.75" hidden="1">
      <c r="A196" s="17"/>
      <c r="B196" s="17"/>
      <c r="C196" s="66"/>
      <c r="D196" s="41" t="s">
        <v>9</v>
      </c>
      <c r="E196" s="67" t="s">
        <v>37</v>
      </c>
      <c r="F196" s="79">
        <v>900</v>
      </c>
      <c r="G196" s="93">
        <f>F196+SUM(H196:T196)</f>
        <v>0</v>
      </c>
      <c r="H196" s="68"/>
      <c r="I196" s="68"/>
      <c r="J196" s="69"/>
      <c r="K196" s="69"/>
      <c r="L196" s="68"/>
      <c r="M196" s="70"/>
      <c r="N196" s="68">
        <v>-900</v>
      </c>
      <c r="O196" s="51"/>
      <c r="P196" s="68"/>
      <c r="Q196" s="68"/>
      <c r="R196" s="68"/>
      <c r="S196" s="68"/>
      <c r="T196" s="68"/>
    </row>
    <row r="197" spans="1:20" ht="25.5" hidden="1">
      <c r="A197" s="17"/>
      <c r="B197" s="17"/>
      <c r="C197" s="66" t="s">
        <v>547</v>
      </c>
      <c r="D197" s="41"/>
      <c r="E197" s="67" t="s">
        <v>477</v>
      </c>
      <c r="F197" s="79">
        <f>F198</f>
        <v>0</v>
      </c>
      <c r="G197" s="79">
        <f aca="true" t="shared" si="98" ref="G197:T197">G198</f>
        <v>836.546</v>
      </c>
      <c r="H197" s="79">
        <f t="shared" si="98"/>
        <v>0</v>
      </c>
      <c r="I197" s="79">
        <f t="shared" si="98"/>
        <v>0</v>
      </c>
      <c r="J197" s="79">
        <f t="shared" si="98"/>
        <v>0</v>
      </c>
      <c r="K197" s="79">
        <f t="shared" si="98"/>
        <v>0</v>
      </c>
      <c r="L197" s="79">
        <f t="shared" si="98"/>
        <v>0</v>
      </c>
      <c r="M197" s="79">
        <f t="shared" si="98"/>
        <v>0</v>
      </c>
      <c r="N197" s="79">
        <f t="shared" si="98"/>
        <v>900</v>
      </c>
      <c r="O197" s="115">
        <f t="shared" si="98"/>
        <v>-63.454</v>
      </c>
      <c r="P197" s="79">
        <f t="shared" si="98"/>
        <v>0</v>
      </c>
      <c r="Q197" s="79">
        <f t="shared" si="98"/>
        <v>0</v>
      </c>
      <c r="R197" s="79">
        <f t="shared" si="98"/>
        <v>0</v>
      </c>
      <c r="S197" s="79">
        <f t="shared" si="98"/>
        <v>0</v>
      </c>
      <c r="T197" s="79">
        <f t="shared" si="98"/>
        <v>0</v>
      </c>
    </row>
    <row r="198" spans="1:20" ht="12.75" hidden="1">
      <c r="A198" s="17"/>
      <c r="B198" s="17"/>
      <c r="C198" s="66"/>
      <c r="D198" s="41" t="s">
        <v>9</v>
      </c>
      <c r="E198" s="67" t="s">
        <v>37</v>
      </c>
      <c r="F198" s="79"/>
      <c r="G198" s="93">
        <f>F198+SUM(H198:T198)</f>
        <v>836.546</v>
      </c>
      <c r="H198" s="68"/>
      <c r="I198" s="68"/>
      <c r="J198" s="69"/>
      <c r="K198" s="69"/>
      <c r="L198" s="68"/>
      <c r="M198" s="70"/>
      <c r="N198" s="68">
        <v>900</v>
      </c>
      <c r="O198" s="51">
        <v>-63.454</v>
      </c>
      <c r="P198" s="68"/>
      <c r="Q198" s="68"/>
      <c r="R198" s="68"/>
      <c r="S198" s="68"/>
      <c r="T198" s="68"/>
    </row>
    <row r="199" spans="1:20" s="33" customFormat="1" ht="24" hidden="1">
      <c r="A199" s="5"/>
      <c r="B199" s="5" t="s">
        <v>81</v>
      </c>
      <c r="C199" s="16"/>
      <c r="D199" s="5"/>
      <c r="E199" s="13" t="s">
        <v>82</v>
      </c>
      <c r="F199" s="119">
        <f aca="true" t="shared" si="99" ref="F199:F204">F200</f>
        <v>9088.9</v>
      </c>
      <c r="G199" s="129">
        <f aca="true" t="shared" si="100" ref="G199:T204">G200</f>
        <v>8347.699999999999</v>
      </c>
      <c r="H199" s="26">
        <f t="shared" si="100"/>
        <v>0</v>
      </c>
      <c r="I199" s="26">
        <f t="shared" si="100"/>
        <v>0</v>
      </c>
      <c r="J199" s="26">
        <f t="shared" si="100"/>
        <v>0</v>
      </c>
      <c r="K199" s="26">
        <f t="shared" si="100"/>
        <v>0</v>
      </c>
      <c r="L199" s="26">
        <f t="shared" si="100"/>
        <v>0</v>
      </c>
      <c r="M199" s="158">
        <f t="shared" si="100"/>
        <v>0</v>
      </c>
      <c r="N199" s="26">
        <f t="shared" si="100"/>
        <v>0</v>
      </c>
      <c r="O199" s="189">
        <f t="shared" si="100"/>
        <v>0</v>
      </c>
      <c r="P199" s="26">
        <f t="shared" si="100"/>
        <v>-741.2</v>
      </c>
      <c r="Q199" s="26">
        <f t="shared" si="100"/>
        <v>0</v>
      </c>
      <c r="R199" s="26">
        <f t="shared" si="100"/>
        <v>0</v>
      </c>
      <c r="S199" s="26">
        <f t="shared" si="100"/>
        <v>0</v>
      </c>
      <c r="T199" s="26">
        <f t="shared" si="100"/>
        <v>0</v>
      </c>
    </row>
    <row r="200" spans="1:20" s="33" customFormat="1" ht="24" hidden="1">
      <c r="A200" s="5"/>
      <c r="B200" s="5" t="s">
        <v>83</v>
      </c>
      <c r="C200" s="16"/>
      <c r="D200" s="5"/>
      <c r="E200" s="13" t="s">
        <v>97</v>
      </c>
      <c r="F200" s="119">
        <f t="shared" si="99"/>
        <v>9088.9</v>
      </c>
      <c r="G200" s="119">
        <f t="shared" si="100"/>
        <v>8347.699999999999</v>
      </c>
      <c r="H200" s="26">
        <f t="shared" si="100"/>
        <v>0</v>
      </c>
      <c r="I200" s="26">
        <f t="shared" si="100"/>
        <v>0</v>
      </c>
      <c r="J200" s="26">
        <f t="shared" si="100"/>
        <v>0</v>
      </c>
      <c r="K200" s="26">
        <f t="shared" si="100"/>
        <v>0</v>
      </c>
      <c r="L200" s="26">
        <f t="shared" si="100"/>
        <v>0</v>
      </c>
      <c r="M200" s="158">
        <f t="shared" si="100"/>
        <v>0</v>
      </c>
      <c r="N200" s="26">
        <f t="shared" si="100"/>
        <v>0</v>
      </c>
      <c r="O200" s="189">
        <f t="shared" si="100"/>
        <v>0</v>
      </c>
      <c r="P200" s="26">
        <f t="shared" si="100"/>
        <v>-741.2</v>
      </c>
      <c r="Q200" s="26">
        <f t="shared" si="100"/>
        <v>0</v>
      </c>
      <c r="R200" s="26">
        <f t="shared" si="100"/>
        <v>0</v>
      </c>
      <c r="S200" s="26">
        <f t="shared" si="100"/>
        <v>0</v>
      </c>
      <c r="T200" s="26">
        <f t="shared" si="100"/>
        <v>0</v>
      </c>
    </row>
    <row r="201" spans="1:20" s="33" customFormat="1" ht="38.25" hidden="1">
      <c r="A201" s="17"/>
      <c r="B201" s="17"/>
      <c r="C201" s="63" t="s">
        <v>164</v>
      </c>
      <c r="D201" s="41"/>
      <c r="E201" s="60" t="s">
        <v>108</v>
      </c>
      <c r="F201" s="94">
        <f t="shared" si="99"/>
        <v>9088.9</v>
      </c>
      <c r="G201" s="94">
        <f t="shared" si="100"/>
        <v>8347.699999999999</v>
      </c>
      <c r="H201" s="71">
        <f t="shared" si="100"/>
        <v>0</v>
      </c>
      <c r="I201" s="71">
        <f t="shared" si="100"/>
        <v>0</v>
      </c>
      <c r="J201" s="71">
        <f t="shared" si="100"/>
        <v>0</v>
      </c>
      <c r="K201" s="71">
        <f t="shared" si="100"/>
        <v>0</v>
      </c>
      <c r="L201" s="71">
        <f t="shared" si="100"/>
        <v>0</v>
      </c>
      <c r="M201" s="156">
        <f t="shared" si="100"/>
        <v>0</v>
      </c>
      <c r="N201" s="71">
        <f t="shared" si="100"/>
        <v>0</v>
      </c>
      <c r="O201" s="190">
        <f t="shared" si="100"/>
        <v>0</v>
      </c>
      <c r="P201" s="71">
        <f t="shared" si="100"/>
        <v>-741.2</v>
      </c>
      <c r="Q201" s="71">
        <f t="shared" si="100"/>
        <v>0</v>
      </c>
      <c r="R201" s="71">
        <f t="shared" si="100"/>
        <v>0</v>
      </c>
      <c r="S201" s="71">
        <f t="shared" si="100"/>
        <v>0</v>
      </c>
      <c r="T201" s="71">
        <f t="shared" si="100"/>
        <v>0</v>
      </c>
    </row>
    <row r="202" spans="1:20" s="33" customFormat="1" ht="25.5" hidden="1">
      <c r="A202" s="17"/>
      <c r="B202" s="17"/>
      <c r="C202" s="82" t="s">
        <v>186</v>
      </c>
      <c r="D202" s="99"/>
      <c r="E202" s="103" t="s">
        <v>189</v>
      </c>
      <c r="F202" s="93">
        <f t="shared" si="99"/>
        <v>9088.9</v>
      </c>
      <c r="G202" s="94">
        <f t="shared" si="100"/>
        <v>8347.699999999999</v>
      </c>
      <c r="H202" s="71">
        <f t="shared" si="100"/>
        <v>0</v>
      </c>
      <c r="I202" s="71">
        <f t="shared" si="100"/>
        <v>0</v>
      </c>
      <c r="J202" s="71">
        <f t="shared" si="100"/>
        <v>0</v>
      </c>
      <c r="K202" s="71">
        <f t="shared" si="100"/>
        <v>0</v>
      </c>
      <c r="L202" s="71">
        <f t="shared" si="100"/>
        <v>0</v>
      </c>
      <c r="M202" s="156">
        <f t="shared" si="100"/>
        <v>0</v>
      </c>
      <c r="N202" s="71">
        <f t="shared" si="100"/>
        <v>0</v>
      </c>
      <c r="O202" s="190">
        <f t="shared" si="100"/>
        <v>0</v>
      </c>
      <c r="P202" s="71">
        <f t="shared" si="100"/>
        <v>-741.2</v>
      </c>
      <c r="Q202" s="71">
        <f t="shared" si="100"/>
        <v>0</v>
      </c>
      <c r="R202" s="71">
        <f t="shared" si="100"/>
        <v>0</v>
      </c>
      <c r="S202" s="71">
        <f t="shared" si="100"/>
        <v>0</v>
      </c>
      <c r="T202" s="71">
        <f t="shared" si="100"/>
        <v>0</v>
      </c>
    </row>
    <row r="203" spans="1:20" s="33" customFormat="1" ht="25.5" hidden="1">
      <c r="A203" s="17"/>
      <c r="B203" s="17"/>
      <c r="C203" s="66" t="s">
        <v>187</v>
      </c>
      <c r="D203" s="41"/>
      <c r="E203" s="67" t="s">
        <v>190</v>
      </c>
      <c r="F203" s="93">
        <f t="shared" si="99"/>
        <v>9088.9</v>
      </c>
      <c r="G203" s="93">
        <f t="shared" si="100"/>
        <v>8347.699999999999</v>
      </c>
      <c r="H203" s="64">
        <f t="shared" si="100"/>
        <v>0</v>
      </c>
      <c r="I203" s="64">
        <f t="shared" si="100"/>
        <v>0</v>
      </c>
      <c r="J203" s="64">
        <f t="shared" si="100"/>
        <v>0</v>
      </c>
      <c r="K203" s="64">
        <f t="shared" si="100"/>
        <v>0</v>
      </c>
      <c r="L203" s="64">
        <f t="shared" si="100"/>
        <v>0</v>
      </c>
      <c r="M203" s="78">
        <f t="shared" si="100"/>
        <v>0</v>
      </c>
      <c r="N203" s="64">
        <f t="shared" si="100"/>
        <v>0</v>
      </c>
      <c r="O203" s="191">
        <f t="shared" si="100"/>
        <v>0</v>
      </c>
      <c r="P203" s="64">
        <f t="shared" si="100"/>
        <v>-741.2</v>
      </c>
      <c r="Q203" s="64">
        <f t="shared" si="100"/>
        <v>0</v>
      </c>
      <c r="R203" s="64">
        <f t="shared" si="100"/>
        <v>0</v>
      </c>
      <c r="S203" s="64">
        <f t="shared" si="100"/>
        <v>0</v>
      </c>
      <c r="T203" s="64">
        <f t="shared" si="100"/>
        <v>0</v>
      </c>
    </row>
    <row r="204" spans="1:20" s="33" customFormat="1" ht="38.25" hidden="1">
      <c r="A204" s="17"/>
      <c r="B204" s="17"/>
      <c r="C204" s="66" t="s">
        <v>188</v>
      </c>
      <c r="D204" s="41"/>
      <c r="E204" s="67" t="s">
        <v>191</v>
      </c>
      <c r="F204" s="93">
        <f t="shared" si="99"/>
        <v>9088.9</v>
      </c>
      <c r="G204" s="93">
        <f t="shared" si="100"/>
        <v>8347.699999999999</v>
      </c>
      <c r="H204" s="64">
        <f t="shared" si="100"/>
        <v>0</v>
      </c>
      <c r="I204" s="64">
        <f t="shared" si="100"/>
        <v>0</v>
      </c>
      <c r="J204" s="64">
        <f t="shared" si="100"/>
        <v>0</v>
      </c>
      <c r="K204" s="64">
        <f t="shared" si="100"/>
        <v>0</v>
      </c>
      <c r="L204" s="64">
        <f t="shared" si="100"/>
        <v>0</v>
      </c>
      <c r="M204" s="78">
        <f t="shared" si="100"/>
        <v>0</v>
      </c>
      <c r="N204" s="64">
        <f t="shared" si="100"/>
        <v>0</v>
      </c>
      <c r="O204" s="191">
        <f t="shared" si="100"/>
        <v>0</v>
      </c>
      <c r="P204" s="64">
        <f t="shared" si="100"/>
        <v>-741.2</v>
      </c>
      <c r="Q204" s="64">
        <f t="shared" si="100"/>
        <v>0</v>
      </c>
      <c r="R204" s="64">
        <f t="shared" si="100"/>
        <v>0</v>
      </c>
      <c r="S204" s="64">
        <f t="shared" si="100"/>
        <v>0</v>
      </c>
      <c r="T204" s="64">
        <f t="shared" si="100"/>
        <v>0</v>
      </c>
    </row>
    <row r="205" spans="1:20" s="33" customFormat="1" ht="28.5" customHeight="1" hidden="1">
      <c r="A205" s="17"/>
      <c r="B205" s="17"/>
      <c r="C205" s="66"/>
      <c r="D205" s="41" t="s">
        <v>8</v>
      </c>
      <c r="E205" s="109" t="s">
        <v>98</v>
      </c>
      <c r="F205" s="93">
        <v>9088.9</v>
      </c>
      <c r="G205" s="93">
        <f>F205+SUM(H205:T205)</f>
        <v>8347.699999999999</v>
      </c>
      <c r="H205" s="64"/>
      <c r="I205" s="64"/>
      <c r="J205" s="58"/>
      <c r="K205" s="58"/>
      <c r="L205" s="64"/>
      <c r="M205" s="78"/>
      <c r="N205" s="64"/>
      <c r="O205" s="191"/>
      <c r="P205" s="64">
        <f>-741.2</f>
        <v>-741.2</v>
      </c>
      <c r="Q205" s="64"/>
      <c r="R205" s="64"/>
      <c r="S205" s="64"/>
      <c r="T205" s="64"/>
    </row>
    <row r="206" spans="1:20" s="23" customFormat="1" ht="46.5" customHeight="1">
      <c r="A206" s="5" t="s">
        <v>19</v>
      </c>
      <c r="B206" s="5"/>
      <c r="C206" s="5"/>
      <c r="D206" s="5"/>
      <c r="E206" s="13" t="s">
        <v>54</v>
      </c>
      <c r="F206" s="119">
        <f>F207+F225</f>
        <v>4280.4</v>
      </c>
      <c r="G206" s="119">
        <f>G207+G225</f>
        <v>4706.55</v>
      </c>
      <c r="H206" s="26">
        <f aca="true" t="shared" si="101" ref="H206:T206">H207+H225</f>
        <v>0</v>
      </c>
      <c r="I206" s="26">
        <f t="shared" si="101"/>
        <v>72.8</v>
      </c>
      <c r="J206" s="26">
        <f t="shared" si="101"/>
        <v>280.05</v>
      </c>
      <c r="K206" s="26">
        <f t="shared" si="101"/>
        <v>0</v>
      </c>
      <c r="L206" s="26">
        <f t="shared" si="101"/>
        <v>0</v>
      </c>
      <c r="M206" s="158">
        <f t="shared" si="101"/>
        <v>0</v>
      </c>
      <c r="N206" s="26">
        <f t="shared" si="101"/>
        <v>0</v>
      </c>
      <c r="O206" s="189">
        <f t="shared" si="101"/>
        <v>0</v>
      </c>
      <c r="P206" s="26">
        <f t="shared" si="101"/>
        <v>0</v>
      </c>
      <c r="Q206" s="26">
        <f t="shared" si="101"/>
        <v>0</v>
      </c>
      <c r="R206" s="26">
        <f>R207+R225</f>
        <v>0</v>
      </c>
      <c r="S206" s="26">
        <f>S207+S225</f>
        <v>73.3</v>
      </c>
      <c r="T206" s="26">
        <f t="shared" si="101"/>
        <v>0</v>
      </c>
    </row>
    <row r="207" spans="1:20" s="23" customFormat="1" ht="20.25" customHeight="1">
      <c r="A207" s="5"/>
      <c r="B207" s="5" t="s">
        <v>28</v>
      </c>
      <c r="C207" s="5"/>
      <c r="D207" s="5"/>
      <c r="E207" s="15" t="s">
        <v>29</v>
      </c>
      <c r="F207" s="119">
        <f>F208+F219</f>
        <v>4280.4</v>
      </c>
      <c r="G207" s="128">
        <f>G208+G219</f>
        <v>4706.55</v>
      </c>
      <c r="H207" s="26">
        <f aca="true" t="shared" si="102" ref="H207:T207">H208+H219</f>
        <v>0</v>
      </c>
      <c r="I207" s="26">
        <f t="shared" si="102"/>
        <v>72.8</v>
      </c>
      <c r="J207" s="26">
        <f t="shared" si="102"/>
        <v>280.05</v>
      </c>
      <c r="K207" s="26">
        <f t="shared" si="102"/>
        <v>0</v>
      </c>
      <c r="L207" s="26">
        <f t="shared" si="102"/>
        <v>0</v>
      </c>
      <c r="M207" s="158">
        <f t="shared" si="102"/>
        <v>0</v>
      </c>
      <c r="N207" s="26">
        <f t="shared" si="102"/>
        <v>0</v>
      </c>
      <c r="O207" s="189">
        <f t="shared" si="102"/>
        <v>0</v>
      </c>
      <c r="P207" s="26">
        <f t="shared" si="102"/>
        <v>0</v>
      </c>
      <c r="Q207" s="26">
        <f t="shared" si="102"/>
        <v>0</v>
      </c>
      <c r="R207" s="26">
        <f>R208+R219</f>
        <v>0</v>
      </c>
      <c r="S207" s="26">
        <f>S208+S219</f>
        <v>73.3</v>
      </c>
      <c r="T207" s="26">
        <f t="shared" si="102"/>
        <v>0</v>
      </c>
    </row>
    <row r="208" spans="1:20" s="24" customFormat="1" ht="36">
      <c r="A208" s="5"/>
      <c r="B208" s="5" t="s">
        <v>55</v>
      </c>
      <c r="C208" s="16"/>
      <c r="D208" s="5"/>
      <c r="E208" s="20" t="s">
        <v>56</v>
      </c>
      <c r="F208" s="119">
        <f>F209</f>
        <v>3780.4</v>
      </c>
      <c r="G208" s="121">
        <f>G209</f>
        <v>4206.55</v>
      </c>
      <c r="H208" s="26">
        <f aca="true" t="shared" si="103" ref="H208:T208">H209</f>
        <v>0</v>
      </c>
      <c r="I208" s="26">
        <f t="shared" si="103"/>
        <v>72.8</v>
      </c>
      <c r="J208" s="59">
        <f>J209</f>
        <v>280.05</v>
      </c>
      <c r="K208" s="59">
        <f>K209</f>
        <v>0</v>
      </c>
      <c r="L208" s="26">
        <f t="shared" si="103"/>
        <v>0</v>
      </c>
      <c r="M208" s="158">
        <f t="shared" si="103"/>
        <v>0</v>
      </c>
      <c r="N208" s="26">
        <f t="shared" si="103"/>
        <v>0</v>
      </c>
      <c r="O208" s="189">
        <f t="shared" si="103"/>
        <v>0</v>
      </c>
      <c r="P208" s="26">
        <f t="shared" si="103"/>
        <v>0</v>
      </c>
      <c r="Q208" s="26">
        <f t="shared" si="103"/>
        <v>0</v>
      </c>
      <c r="R208" s="26">
        <f t="shared" si="103"/>
        <v>0</v>
      </c>
      <c r="S208" s="26">
        <f t="shared" si="103"/>
        <v>73.3</v>
      </c>
      <c r="T208" s="26">
        <f t="shared" si="103"/>
        <v>0</v>
      </c>
    </row>
    <row r="209" spans="1:20" s="25" customFormat="1" ht="38.25">
      <c r="A209" s="17"/>
      <c r="B209" s="17"/>
      <c r="C209" s="63" t="s">
        <v>164</v>
      </c>
      <c r="D209" s="41"/>
      <c r="E209" s="60" t="s">
        <v>108</v>
      </c>
      <c r="F209" s="94">
        <f>F210+F225</f>
        <v>3780.4</v>
      </c>
      <c r="G209" s="94">
        <f>G210+G225</f>
        <v>4206.55</v>
      </c>
      <c r="H209" s="71">
        <f aca="true" t="shared" si="104" ref="H209:T209">H210+H225</f>
        <v>0</v>
      </c>
      <c r="I209" s="71">
        <f t="shared" si="104"/>
        <v>72.8</v>
      </c>
      <c r="J209" s="71">
        <f t="shared" si="104"/>
        <v>280.05</v>
      </c>
      <c r="K209" s="71">
        <f t="shared" si="104"/>
        <v>0</v>
      </c>
      <c r="L209" s="71">
        <f t="shared" si="104"/>
        <v>0</v>
      </c>
      <c r="M209" s="156">
        <f t="shared" si="104"/>
        <v>0</v>
      </c>
      <c r="N209" s="71">
        <f t="shared" si="104"/>
        <v>0</v>
      </c>
      <c r="O209" s="190">
        <f t="shared" si="104"/>
        <v>0</v>
      </c>
      <c r="P209" s="71">
        <f t="shared" si="104"/>
        <v>0</v>
      </c>
      <c r="Q209" s="71">
        <f t="shared" si="104"/>
        <v>0</v>
      </c>
      <c r="R209" s="71">
        <f>R210+R225</f>
        <v>0</v>
      </c>
      <c r="S209" s="71">
        <f>S210+S225</f>
        <v>73.3</v>
      </c>
      <c r="T209" s="71">
        <f t="shared" si="104"/>
        <v>0</v>
      </c>
    </row>
    <row r="210" spans="1:20" s="25" customFormat="1" ht="25.5">
      <c r="A210" s="17"/>
      <c r="B210" s="17"/>
      <c r="C210" s="63" t="s">
        <v>161</v>
      </c>
      <c r="D210" s="11"/>
      <c r="E210" s="60" t="s">
        <v>109</v>
      </c>
      <c r="F210" s="94">
        <f>F211+F216</f>
        <v>3780.4</v>
      </c>
      <c r="G210" s="94">
        <f aca="true" t="shared" si="105" ref="G210:T210">G211+G216</f>
        <v>4206.55</v>
      </c>
      <c r="H210" s="71">
        <f t="shared" si="105"/>
        <v>0</v>
      </c>
      <c r="I210" s="71">
        <f t="shared" si="105"/>
        <v>72.8</v>
      </c>
      <c r="J210" s="71">
        <f t="shared" si="105"/>
        <v>280.05</v>
      </c>
      <c r="K210" s="71">
        <f t="shared" si="105"/>
        <v>0</v>
      </c>
      <c r="L210" s="71">
        <f t="shared" si="105"/>
        <v>0</v>
      </c>
      <c r="M210" s="156">
        <f t="shared" si="105"/>
        <v>0</v>
      </c>
      <c r="N210" s="71">
        <f t="shared" si="105"/>
        <v>0</v>
      </c>
      <c r="O210" s="190">
        <f t="shared" si="105"/>
        <v>0</v>
      </c>
      <c r="P210" s="71">
        <f t="shared" si="105"/>
        <v>0</v>
      </c>
      <c r="Q210" s="71">
        <f t="shared" si="105"/>
        <v>0</v>
      </c>
      <c r="R210" s="71">
        <f>R211+R216</f>
        <v>0</v>
      </c>
      <c r="S210" s="71">
        <f>S211+S216</f>
        <v>73.3</v>
      </c>
      <c r="T210" s="71">
        <f t="shared" si="105"/>
        <v>0</v>
      </c>
    </row>
    <row r="211" spans="1:20" s="25" customFormat="1" ht="25.5">
      <c r="A211" s="17"/>
      <c r="B211" s="17"/>
      <c r="C211" s="112" t="s">
        <v>162</v>
      </c>
      <c r="D211" s="99"/>
      <c r="E211" s="61" t="s">
        <v>165</v>
      </c>
      <c r="F211" s="93">
        <f aca="true" t="shared" si="106" ref="F211:K211">F212</f>
        <v>3487.2000000000003</v>
      </c>
      <c r="G211" s="93">
        <f t="shared" si="106"/>
        <v>3796.2500000000005</v>
      </c>
      <c r="H211" s="64">
        <f t="shared" si="106"/>
        <v>0</v>
      </c>
      <c r="I211" s="64">
        <f t="shared" si="106"/>
        <v>0</v>
      </c>
      <c r="J211" s="64">
        <f t="shared" si="106"/>
        <v>280.05</v>
      </c>
      <c r="K211" s="64">
        <f t="shared" si="106"/>
        <v>0</v>
      </c>
      <c r="L211" s="64">
        <f aca="true" t="shared" si="107" ref="L211:Q211">L213+L214+L215</f>
        <v>0</v>
      </c>
      <c r="M211" s="78">
        <f t="shared" si="107"/>
        <v>0</v>
      </c>
      <c r="N211" s="64">
        <f t="shared" si="107"/>
        <v>0</v>
      </c>
      <c r="O211" s="191">
        <f t="shared" si="107"/>
        <v>0</v>
      </c>
      <c r="P211" s="64">
        <f t="shared" si="107"/>
        <v>0</v>
      </c>
      <c r="Q211" s="64">
        <f t="shared" si="107"/>
        <v>0</v>
      </c>
      <c r="R211" s="64">
        <f>R213+R214+R215</f>
        <v>0</v>
      </c>
      <c r="S211" s="64">
        <f>S213+S214+S215</f>
        <v>29</v>
      </c>
      <c r="T211" s="64">
        <f>T213+T214+T215</f>
        <v>0</v>
      </c>
    </row>
    <row r="212" spans="1:20" s="25" customFormat="1" ht="25.5">
      <c r="A212" s="17"/>
      <c r="B212" s="17"/>
      <c r="C212" s="62" t="s">
        <v>163</v>
      </c>
      <c r="D212" s="41"/>
      <c r="E212" s="57" t="s">
        <v>166</v>
      </c>
      <c r="F212" s="93">
        <f aca="true" t="shared" si="108" ref="F212:T212">F213+F214+F215</f>
        <v>3487.2000000000003</v>
      </c>
      <c r="G212" s="93">
        <f t="shared" si="108"/>
        <v>3796.2500000000005</v>
      </c>
      <c r="H212" s="93">
        <f t="shared" si="108"/>
        <v>0</v>
      </c>
      <c r="I212" s="93">
        <f t="shared" si="108"/>
        <v>0</v>
      </c>
      <c r="J212" s="93">
        <f t="shared" si="108"/>
        <v>280.05</v>
      </c>
      <c r="K212" s="93">
        <f t="shared" si="108"/>
        <v>0</v>
      </c>
      <c r="L212" s="93">
        <f t="shared" si="108"/>
        <v>0</v>
      </c>
      <c r="M212" s="93">
        <f t="shared" si="108"/>
        <v>0</v>
      </c>
      <c r="N212" s="93">
        <f t="shared" si="108"/>
        <v>0</v>
      </c>
      <c r="O212" s="93">
        <f t="shared" si="108"/>
        <v>0</v>
      </c>
      <c r="P212" s="93">
        <f t="shared" si="108"/>
        <v>0</v>
      </c>
      <c r="Q212" s="93">
        <f t="shared" si="108"/>
        <v>0</v>
      </c>
      <c r="R212" s="93">
        <f t="shared" si="108"/>
        <v>0</v>
      </c>
      <c r="S212" s="93">
        <f t="shared" si="108"/>
        <v>29</v>
      </c>
      <c r="T212" s="93">
        <f t="shared" si="108"/>
        <v>0</v>
      </c>
    </row>
    <row r="213" spans="1:20" s="25" customFormat="1" ht="51">
      <c r="A213" s="17"/>
      <c r="B213" s="17"/>
      <c r="C213" s="66"/>
      <c r="D213" s="41" t="s">
        <v>2</v>
      </c>
      <c r="E213" s="67" t="s">
        <v>94</v>
      </c>
      <c r="F213" s="79">
        <v>3260</v>
      </c>
      <c r="G213" s="79">
        <f>F213+SUM(H213:T213)</f>
        <v>3540.05</v>
      </c>
      <c r="H213" s="68"/>
      <c r="I213" s="68"/>
      <c r="J213" s="69">
        <v>280.05</v>
      </c>
      <c r="K213" s="69"/>
      <c r="L213" s="68"/>
      <c r="M213" s="70"/>
      <c r="N213" s="68"/>
      <c r="O213" s="51"/>
      <c r="P213" s="68"/>
      <c r="Q213" s="68">
        <v>-29</v>
      </c>
      <c r="R213" s="68"/>
      <c r="S213" s="68">
        <v>29</v>
      </c>
      <c r="T213" s="68"/>
    </row>
    <row r="214" spans="1:20" s="25" customFormat="1" ht="25.5" hidden="1">
      <c r="A214" s="17"/>
      <c r="B214" s="17"/>
      <c r="C214" s="66"/>
      <c r="D214" s="41" t="s">
        <v>3</v>
      </c>
      <c r="E214" s="67" t="s">
        <v>95</v>
      </c>
      <c r="F214" s="79">
        <v>226.8</v>
      </c>
      <c r="G214" s="79">
        <f>F214+SUM(H214:T214)</f>
        <v>255.8</v>
      </c>
      <c r="H214" s="68"/>
      <c r="I214" s="68"/>
      <c r="J214" s="69">
        <v>0</v>
      </c>
      <c r="K214" s="69"/>
      <c r="L214" s="68"/>
      <c r="M214" s="70"/>
      <c r="N214" s="68"/>
      <c r="O214" s="51"/>
      <c r="P214" s="68"/>
      <c r="Q214" s="68">
        <v>29</v>
      </c>
      <c r="R214" s="68"/>
      <c r="S214" s="68"/>
      <c r="T214" s="68"/>
    </row>
    <row r="215" spans="1:20" s="25" customFormat="1" ht="12.75" hidden="1">
      <c r="A215" s="17"/>
      <c r="B215" s="17"/>
      <c r="C215" s="66"/>
      <c r="D215" s="41" t="s">
        <v>4</v>
      </c>
      <c r="E215" s="67" t="s">
        <v>5</v>
      </c>
      <c r="F215" s="79">
        <v>0.4</v>
      </c>
      <c r="G215" s="79">
        <f>F215+SUM(H215:T215)</f>
        <v>0.4</v>
      </c>
      <c r="H215" s="68"/>
      <c r="I215" s="68"/>
      <c r="J215" s="69"/>
      <c r="K215" s="69"/>
      <c r="L215" s="68"/>
      <c r="M215" s="70"/>
      <c r="N215" s="68"/>
      <c r="O215" s="51"/>
      <c r="P215" s="68"/>
      <c r="Q215" s="68"/>
      <c r="R215" s="68"/>
      <c r="S215" s="68"/>
      <c r="T215" s="68"/>
    </row>
    <row r="216" spans="1:20" s="25" customFormat="1" ht="51">
      <c r="A216" s="17"/>
      <c r="B216" s="17"/>
      <c r="C216" s="82" t="s">
        <v>171</v>
      </c>
      <c r="D216" s="99"/>
      <c r="E216" s="103" t="s">
        <v>172</v>
      </c>
      <c r="F216" s="79">
        <f>F217</f>
        <v>293.2</v>
      </c>
      <c r="G216" s="79">
        <f aca="true" t="shared" si="109" ref="G216:T217">G217</f>
        <v>410.29999999999995</v>
      </c>
      <c r="H216" s="68">
        <f t="shared" si="109"/>
        <v>0</v>
      </c>
      <c r="I216" s="68">
        <f t="shared" si="109"/>
        <v>72.8</v>
      </c>
      <c r="J216" s="68">
        <f t="shared" si="109"/>
        <v>0</v>
      </c>
      <c r="K216" s="68">
        <f t="shared" si="109"/>
        <v>0</v>
      </c>
      <c r="L216" s="68">
        <f t="shared" si="109"/>
        <v>0</v>
      </c>
      <c r="M216" s="70">
        <f t="shared" si="109"/>
        <v>0</v>
      </c>
      <c r="N216" s="68">
        <f t="shared" si="109"/>
        <v>0</v>
      </c>
      <c r="O216" s="51">
        <f t="shared" si="109"/>
        <v>0</v>
      </c>
      <c r="P216" s="68">
        <f t="shared" si="109"/>
        <v>0</v>
      </c>
      <c r="Q216" s="68">
        <f t="shared" si="109"/>
        <v>0</v>
      </c>
      <c r="R216" s="68">
        <f t="shared" si="109"/>
        <v>0</v>
      </c>
      <c r="S216" s="68">
        <f t="shared" si="109"/>
        <v>44.3</v>
      </c>
      <c r="T216" s="68">
        <f t="shared" si="109"/>
        <v>0</v>
      </c>
    </row>
    <row r="217" spans="1:20" s="25" customFormat="1" ht="38.25">
      <c r="A217" s="17"/>
      <c r="B217" s="17"/>
      <c r="C217" s="66" t="s">
        <v>500</v>
      </c>
      <c r="D217" s="41"/>
      <c r="E217" s="57" t="s">
        <v>501</v>
      </c>
      <c r="F217" s="93">
        <f>F218</f>
        <v>293.2</v>
      </c>
      <c r="G217" s="93">
        <f t="shared" si="109"/>
        <v>410.29999999999995</v>
      </c>
      <c r="H217" s="93">
        <f t="shared" si="109"/>
        <v>0</v>
      </c>
      <c r="I217" s="93">
        <f t="shared" si="109"/>
        <v>72.8</v>
      </c>
      <c r="J217" s="93">
        <f t="shared" si="109"/>
        <v>0</v>
      </c>
      <c r="K217" s="93">
        <f t="shared" si="109"/>
        <v>0</v>
      </c>
      <c r="L217" s="93">
        <f t="shared" si="109"/>
        <v>0</v>
      </c>
      <c r="M217" s="93">
        <f t="shared" si="109"/>
        <v>0</v>
      </c>
      <c r="N217" s="93">
        <f t="shared" si="109"/>
        <v>0</v>
      </c>
      <c r="O217" s="93">
        <f t="shared" si="109"/>
        <v>0</v>
      </c>
      <c r="P217" s="93">
        <f t="shared" si="109"/>
        <v>0</v>
      </c>
      <c r="Q217" s="93">
        <f t="shared" si="109"/>
        <v>0</v>
      </c>
      <c r="R217" s="93">
        <f t="shared" si="109"/>
        <v>0</v>
      </c>
      <c r="S217" s="93">
        <f t="shared" si="109"/>
        <v>44.3</v>
      </c>
      <c r="T217" s="93">
        <f t="shared" si="109"/>
        <v>0</v>
      </c>
    </row>
    <row r="218" spans="1:20" s="25" customFormat="1" ht="12.75">
      <c r="A218" s="17"/>
      <c r="B218" s="17"/>
      <c r="C218" s="66"/>
      <c r="D218" s="41" t="s">
        <v>9</v>
      </c>
      <c r="E218" s="67" t="s">
        <v>37</v>
      </c>
      <c r="F218" s="93">
        <v>293.2</v>
      </c>
      <c r="G218" s="93">
        <f>F218+SUM(H218:T218)</f>
        <v>410.29999999999995</v>
      </c>
      <c r="H218" s="64"/>
      <c r="I218" s="64">
        <v>72.8</v>
      </c>
      <c r="J218" s="65"/>
      <c r="K218" s="65"/>
      <c r="L218" s="68"/>
      <c r="M218" s="70"/>
      <c r="N218" s="68"/>
      <c r="O218" s="51"/>
      <c r="P218" s="68"/>
      <c r="Q218" s="68"/>
      <c r="R218" s="68"/>
      <c r="S218" s="68">
        <v>44.3</v>
      </c>
      <c r="T218" s="68"/>
    </row>
    <row r="219" spans="1:20" s="24" customFormat="1" ht="12" hidden="1">
      <c r="A219" s="5"/>
      <c r="B219" s="5" t="s">
        <v>38</v>
      </c>
      <c r="C219" s="16"/>
      <c r="D219" s="5"/>
      <c r="E219" s="20" t="s">
        <v>57</v>
      </c>
      <c r="F219" s="119">
        <f>F220</f>
        <v>500</v>
      </c>
      <c r="G219" s="119">
        <f aca="true" t="shared" si="110" ref="G219:T223">G220</f>
        <v>500</v>
      </c>
      <c r="H219" s="119">
        <f t="shared" si="110"/>
        <v>0</v>
      </c>
      <c r="I219" s="119">
        <f t="shared" si="110"/>
        <v>0</v>
      </c>
      <c r="J219" s="119">
        <f t="shared" si="110"/>
        <v>0</v>
      </c>
      <c r="K219" s="119">
        <f t="shared" si="110"/>
        <v>0</v>
      </c>
      <c r="L219" s="119">
        <f t="shared" si="110"/>
        <v>0</v>
      </c>
      <c r="M219" s="121">
        <f t="shared" si="110"/>
        <v>0</v>
      </c>
      <c r="N219" s="119">
        <f t="shared" si="110"/>
        <v>0</v>
      </c>
      <c r="O219" s="185">
        <f t="shared" si="110"/>
        <v>0</v>
      </c>
      <c r="P219" s="119">
        <f t="shared" si="110"/>
        <v>0</v>
      </c>
      <c r="Q219" s="119">
        <f t="shared" si="110"/>
        <v>0</v>
      </c>
      <c r="R219" s="119">
        <f t="shared" si="110"/>
        <v>0</v>
      </c>
      <c r="S219" s="119">
        <f t="shared" si="110"/>
        <v>0</v>
      </c>
      <c r="T219" s="119">
        <f t="shared" si="110"/>
        <v>0</v>
      </c>
    </row>
    <row r="220" spans="1:20" s="25" customFormat="1" ht="38.25" hidden="1">
      <c r="A220" s="17"/>
      <c r="B220" s="17"/>
      <c r="C220" s="63" t="s">
        <v>164</v>
      </c>
      <c r="D220" s="41"/>
      <c r="E220" s="60" t="s">
        <v>108</v>
      </c>
      <c r="F220" s="94">
        <f>F221</f>
        <v>500</v>
      </c>
      <c r="G220" s="94">
        <f t="shared" si="110"/>
        <v>500</v>
      </c>
      <c r="H220" s="94">
        <f t="shared" si="110"/>
        <v>0</v>
      </c>
      <c r="I220" s="94">
        <f t="shared" si="110"/>
        <v>0</v>
      </c>
      <c r="J220" s="94">
        <f t="shared" si="110"/>
        <v>0</v>
      </c>
      <c r="K220" s="94">
        <f t="shared" si="110"/>
        <v>0</v>
      </c>
      <c r="L220" s="94">
        <f t="shared" si="110"/>
        <v>0</v>
      </c>
      <c r="M220" s="155">
        <f t="shared" si="110"/>
        <v>0</v>
      </c>
      <c r="N220" s="94">
        <f t="shared" si="110"/>
        <v>0</v>
      </c>
      <c r="O220" s="187">
        <f t="shared" si="110"/>
        <v>0</v>
      </c>
      <c r="P220" s="94">
        <f t="shared" si="110"/>
        <v>0</v>
      </c>
      <c r="Q220" s="94">
        <f t="shared" si="110"/>
        <v>0</v>
      </c>
      <c r="R220" s="94">
        <f t="shared" si="110"/>
        <v>0</v>
      </c>
      <c r="S220" s="94">
        <f t="shared" si="110"/>
        <v>0</v>
      </c>
      <c r="T220" s="94">
        <f t="shared" si="110"/>
        <v>0</v>
      </c>
    </row>
    <row r="221" spans="1:20" s="25" customFormat="1" ht="25.5" hidden="1">
      <c r="A221" s="17"/>
      <c r="B221" s="17"/>
      <c r="C221" s="63" t="s">
        <v>161</v>
      </c>
      <c r="D221" s="11"/>
      <c r="E221" s="60" t="s">
        <v>109</v>
      </c>
      <c r="F221" s="94">
        <f>F222</f>
        <v>500</v>
      </c>
      <c r="G221" s="94">
        <f t="shared" si="110"/>
        <v>500</v>
      </c>
      <c r="H221" s="94">
        <f t="shared" si="110"/>
        <v>0</v>
      </c>
      <c r="I221" s="94">
        <f t="shared" si="110"/>
        <v>0</v>
      </c>
      <c r="J221" s="94">
        <f t="shared" si="110"/>
        <v>0</v>
      </c>
      <c r="K221" s="94">
        <f t="shared" si="110"/>
        <v>0</v>
      </c>
      <c r="L221" s="94">
        <f t="shared" si="110"/>
        <v>0</v>
      </c>
      <c r="M221" s="155">
        <f t="shared" si="110"/>
        <v>0</v>
      </c>
      <c r="N221" s="94">
        <f t="shared" si="110"/>
        <v>0</v>
      </c>
      <c r="O221" s="187">
        <f t="shared" si="110"/>
        <v>0</v>
      </c>
      <c r="P221" s="94">
        <f t="shared" si="110"/>
        <v>0</v>
      </c>
      <c r="Q221" s="94">
        <f t="shared" si="110"/>
        <v>0</v>
      </c>
      <c r="R221" s="94">
        <f t="shared" si="110"/>
        <v>0</v>
      </c>
      <c r="S221" s="94">
        <f t="shared" si="110"/>
        <v>0</v>
      </c>
      <c r="T221" s="94">
        <f t="shared" si="110"/>
        <v>0</v>
      </c>
    </row>
    <row r="222" spans="1:20" s="25" customFormat="1" ht="38.25" hidden="1">
      <c r="A222" s="17"/>
      <c r="B222" s="17"/>
      <c r="C222" s="82" t="s">
        <v>167</v>
      </c>
      <c r="D222" s="99"/>
      <c r="E222" s="103" t="s">
        <v>169</v>
      </c>
      <c r="F222" s="79">
        <f>F223</f>
        <v>500</v>
      </c>
      <c r="G222" s="79">
        <f t="shared" si="110"/>
        <v>500</v>
      </c>
      <c r="H222" s="79">
        <f t="shared" si="110"/>
        <v>0</v>
      </c>
      <c r="I222" s="79">
        <f t="shared" si="110"/>
        <v>0</v>
      </c>
      <c r="J222" s="79">
        <f t="shared" si="110"/>
        <v>0</v>
      </c>
      <c r="K222" s="79">
        <f t="shared" si="110"/>
        <v>0</v>
      </c>
      <c r="L222" s="79">
        <f t="shared" si="110"/>
        <v>0</v>
      </c>
      <c r="M222" s="96">
        <f t="shared" si="110"/>
        <v>0</v>
      </c>
      <c r="N222" s="79">
        <f t="shared" si="110"/>
        <v>0</v>
      </c>
      <c r="O222" s="115">
        <f t="shared" si="110"/>
        <v>0</v>
      </c>
      <c r="P222" s="79">
        <f t="shared" si="110"/>
        <v>0</v>
      </c>
      <c r="Q222" s="79">
        <f t="shared" si="110"/>
        <v>0</v>
      </c>
      <c r="R222" s="79">
        <f t="shared" si="110"/>
        <v>0</v>
      </c>
      <c r="S222" s="79">
        <f t="shared" si="110"/>
        <v>0</v>
      </c>
      <c r="T222" s="79">
        <f t="shared" si="110"/>
        <v>0</v>
      </c>
    </row>
    <row r="223" spans="1:20" s="25" customFormat="1" ht="51" hidden="1">
      <c r="A223" s="17"/>
      <c r="B223" s="17"/>
      <c r="C223" s="66" t="s">
        <v>168</v>
      </c>
      <c r="D223" s="41"/>
      <c r="E223" s="57" t="s">
        <v>170</v>
      </c>
      <c r="F223" s="93">
        <f>F224</f>
        <v>500</v>
      </c>
      <c r="G223" s="93">
        <f t="shared" si="110"/>
        <v>500</v>
      </c>
      <c r="H223" s="93">
        <f t="shared" si="110"/>
        <v>0</v>
      </c>
      <c r="I223" s="93">
        <f t="shared" si="110"/>
        <v>0</v>
      </c>
      <c r="J223" s="93">
        <f t="shared" si="110"/>
        <v>0</v>
      </c>
      <c r="K223" s="93">
        <f t="shared" si="110"/>
        <v>0</v>
      </c>
      <c r="L223" s="93">
        <f t="shared" si="110"/>
        <v>0</v>
      </c>
      <c r="M223" s="133">
        <f t="shared" si="110"/>
        <v>0</v>
      </c>
      <c r="N223" s="93">
        <f t="shared" si="110"/>
        <v>0</v>
      </c>
      <c r="O223" s="188">
        <f t="shared" si="110"/>
        <v>0</v>
      </c>
      <c r="P223" s="93">
        <f t="shared" si="110"/>
        <v>0</v>
      </c>
      <c r="Q223" s="93">
        <f t="shared" si="110"/>
        <v>0</v>
      </c>
      <c r="R223" s="93">
        <f t="shared" si="110"/>
        <v>0</v>
      </c>
      <c r="S223" s="93">
        <f t="shared" si="110"/>
        <v>0</v>
      </c>
      <c r="T223" s="93">
        <f t="shared" si="110"/>
        <v>0</v>
      </c>
    </row>
    <row r="224" spans="1:20" s="25" customFormat="1" ht="12.75" hidden="1">
      <c r="A224" s="17"/>
      <c r="B224" s="17"/>
      <c r="C224" s="66"/>
      <c r="D224" s="41" t="s">
        <v>4</v>
      </c>
      <c r="E224" s="67" t="s">
        <v>5</v>
      </c>
      <c r="F224" s="93">
        <v>500</v>
      </c>
      <c r="G224" s="93">
        <f>F224+SUM(H224:T224)</f>
        <v>500</v>
      </c>
      <c r="H224" s="64"/>
      <c r="I224" s="64"/>
      <c r="J224" s="58"/>
      <c r="K224" s="58"/>
      <c r="L224" s="64"/>
      <c r="M224" s="78"/>
      <c r="N224" s="64"/>
      <c r="O224" s="191"/>
      <c r="P224" s="64"/>
      <c r="Q224" s="64"/>
      <c r="R224" s="64"/>
      <c r="S224" s="64"/>
      <c r="T224" s="64"/>
    </row>
    <row r="225" spans="1:20" s="24" customFormat="1" ht="12.75" hidden="1">
      <c r="A225" s="5"/>
      <c r="B225" s="5" t="s">
        <v>157</v>
      </c>
      <c r="C225" s="16"/>
      <c r="D225" s="5"/>
      <c r="E225" s="117" t="s">
        <v>148</v>
      </c>
      <c r="F225" s="119">
        <f>F226</f>
        <v>0</v>
      </c>
      <c r="G225" s="119">
        <f>G226</f>
        <v>0</v>
      </c>
      <c r="H225" s="26">
        <f aca="true" t="shared" si="111" ref="H225:T226">H226</f>
        <v>0</v>
      </c>
      <c r="I225" s="26">
        <f t="shared" si="111"/>
        <v>0</v>
      </c>
      <c r="J225" s="26">
        <f t="shared" si="111"/>
        <v>0</v>
      </c>
      <c r="K225" s="26">
        <f t="shared" si="111"/>
        <v>0</v>
      </c>
      <c r="L225" s="26">
        <f t="shared" si="111"/>
        <v>0</v>
      </c>
      <c r="M225" s="158">
        <f t="shared" si="111"/>
        <v>0</v>
      </c>
      <c r="N225" s="26">
        <f t="shared" si="111"/>
        <v>0</v>
      </c>
      <c r="O225" s="189">
        <f t="shared" si="111"/>
        <v>0</v>
      </c>
      <c r="P225" s="26">
        <f t="shared" si="111"/>
        <v>0</v>
      </c>
      <c r="Q225" s="26">
        <f t="shared" si="111"/>
        <v>0</v>
      </c>
      <c r="R225" s="26">
        <f t="shared" si="111"/>
        <v>0</v>
      </c>
      <c r="S225" s="26">
        <f t="shared" si="111"/>
        <v>0</v>
      </c>
      <c r="T225" s="26">
        <f t="shared" si="111"/>
        <v>0</v>
      </c>
    </row>
    <row r="226" spans="1:20" s="25" customFormat="1" ht="12.75" hidden="1">
      <c r="A226" s="17"/>
      <c r="B226" s="17"/>
      <c r="C226" s="116" t="s">
        <v>434</v>
      </c>
      <c r="D226" s="11"/>
      <c r="E226" s="117" t="s">
        <v>148</v>
      </c>
      <c r="F226" s="95">
        <f>F227</f>
        <v>0</v>
      </c>
      <c r="G226" s="95">
        <f>G227</f>
        <v>0</v>
      </c>
      <c r="H226" s="73">
        <f t="shared" si="111"/>
        <v>0</v>
      </c>
      <c r="I226" s="73">
        <f t="shared" si="111"/>
        <v>0</v>
      </c>
      <c r="J226" s="73">
        <f t="shared" si="111"/>
        <v>0</v>
      </c>
      <c r="K226" s="73">
        <f t="shared" si="111"/>
        <v>0</v>
      </c>
      <c r="L226" s="73">
        <f t="shared" si="111"/>
        <v>0</v>
      </c>
      <c r="M226" s="77">
        <f t="shared" si="111"/>
        <v>0</v>
      </c>
      <c r="N226" s="73">
        <f t="shared" si="111"/>
        <v>0</v>
      </c>
      <c r="O226" s="50">
        <f t="shared" si="111"/>
        <v>0</v>
      </c>
      <c r="P226" s="73">
        <f t="shared" si="111"/>
        <v>0</v>
      </c>
      <c r="Q226" s="73">
        <f t="shared" si="111"/>
        <v>0</v>
      </c>
      <c r="R226" s="73">
        <f t="shared" si="111"/>
        <v>0</v>
      </c>
      <c r="S226" s="73">
        <f t="shared" si="111"/>
        <v>0</v>
      </c>
      <c r="T226" s="73">
        <f t="shared" si="111"/>
        <v>0</v>
      </c>
    </row>
    <row r="227" spans="1:20" s="25" customFormat="1" ht="12.75" hidden="1">
      <c r="A227" s="17"/>
      <c r="B227" s="17"/>
      <c r="C227" s="88" t="s">
        <v>433</v>
      </c>
      <c r="D227" s="41" t="s">
        <v>155</v>
      </c>
      <c r="E227" s="87" t="s">
        <v>148</v>
      </c>
      <c r="F227" s="79">
        <v>0</v>
      </c>
      <c r="G227" s="93">
        <f>F227+SUM(H227:L227)</f>
        <v>0</v>
      </c>
      <c r="H227" s="68"/>
      <c r="I227" s="68"/>
      <c r="J227" s="68"/>
      <c r="K227" s="68"/>
      <c r="L227" s="68"/>
      <c r="M227" s="70"/>
      <c r="N227" s="68"/>
      <c r="O227" s="51"/>
      <c r="P227" s="68"/>
      <c r="Q227" s="68"/>
      <c r="R227" s="68"/>
      <c r="S227" s="68"/>
      <c r="T227" s="68"/>
    </row>
    <row r="228" spans="1:20" s="25" customFormat="1" ht="49.5" customHeight="1">
      <c r="A228" s="5" t="s">
        <v>20</v>
      </c>
      <c r="B228" s="5"/>
      <c r="C228" s="5"/>
      <c r="D228" s="5"/>
      <c r="E228" s="13" t="s">
        <v>63</v>
      </c>
      <c r="F228" s="119">
        <f aca="true" t="shared" si="112" ref="F228:T228">F229+F278+F335+F435+F428+F251</f>
        <v>122145.09999999999</v>
      </c>
      <c r="G228" s="119">
        <f t="shared" si="112"/>
        <v>169342.24521</v>
      </c>
      <c r="H228" s="119">
        <f t="shared" si="112"/>
        <v>0</v>
      </c>
      <c r="I228" s="119">
        <f t="shared" si="112"/>
        <v>55465.71449</v>
      </c>
      <c r="J228" s="119">
        <f t="shared" si="112"/>
        <v>-10442.0664</v>
      </c>
      <c r="K228" s="119">
        <f t="shared" si="112"/>
        <v>-135</v>
      </c>
      <c r="L228" s="119">
        <f t="shared" si="112"/>
        <v>14936.39416</v>
      </c>
      <c r="M228" s="121">
        <f>M229+M278+M335+M435+M428+M251</f>
        <v>2329.34924</v>
      </c>
      <c r="N228" s="119">
        <f t="shared" si="112"/>
        <v>-972.2178</v>
      </c>
      <c r="O228" s="185">
        <f t="shared" si="112"/>
        <v>-253.62847999999997</v>
      </c>
      <c r="P228" s="119">
        <f t="shared" si="112"/>
        <v>-12928.6</v>
      </c>
      <c r="Q228" s="119">
        <f t="shared" si="112"/>
        <v>-35</v>
      </c>
      <c r="R228" s="119">
        <f>R229+R278+R335+R435+R428+R251</f>
        <v>-300</v>
      </c>
      <c r="S228" s="119">
        <f>S229+S278+S335+S435+S428+S251</f>
        <v>-467.8</v>
      </c>
      <c r="T228" s="119">
        <f t="shared" si="112"/>
        <v>0</v>
      </c>
    </row>
    <row r="229" spans="1:20" s="25" customFormat="1" ht="12">
      <c r="A229" s="5"/>
      <c r="B229" s="5" t="s">
        <v>28</v>
      </c>
      <c r="C229" s="5"/>
      <c r="D229" s="5"/>
      <c r="E229" s="15" t="s">
        <v>29</v>
      </c>
      <c r="F229" s="119">
        <f>F230+F241</f>
        <v>15769.1</v>
      </c>
      <c r="G229" s="119">
        <f>G230+G241</f>
        <v>14875.936</v>
      </c>
      <c r="H229" s="26">
        <f aca="true" t="shared" si="113" ref="H229:T229">H230+H241</f>
        <v>0</v>
      </c>
      <c r="I229" s="26">
        <f t="shared" si="113"/>
        <v>0</v>
      </c>
      <c r="J229" s="59">
        <f t="shared" si="113"/>
        <v>533.4</v>
      </c>
      <c r="K229" s="59">
        <f t="shared" si="113"/>
        <v>0</v>
      </c>
      <c r="L229" s="26">
        <f t="shared" si="113"/>
        <v>10.8</v>
      </c>
      <c r="M229" s="158">
        <f t="shared" si="113"/>
        <v>0</v>
      </c>
      <c r="N229" s="26">
        <f t="shared" si="113"/>
        <v>0</v>
      </c>
      <c r="O229" s="189">
        <f t="shared" si="113"/>
        <v>54.836</v>
      </c>
      <c r="P229" s="26">
        <f t="shared" si="113"/>
        <v>-1000</v>
      </c>
      <c r="Q229" s="26">
        <f t="shared" si="113"/>
        <v>-177</v>
      </c>
      <c r="R229" s="26">
        <f>R230+R241</f>
        <v>-300</v>
      </c>
      <c r="S229" s="26">
        <f>S230+S241</f>
        <v>-15.199999999999989</v>
      </c>
      <c r="T229" s="26">
        <f t="shared" si="113"/>
        <v>0</v>
      </c>
    </row>
    <row r="230" spans="1:20" s="24" customFormat="1" ht="48" hidden="1">
      <c r="A230" s="5"/>
      <c r="B230" s="5" t="s">
        <v>35</v>
      </c>
      <c r="C230" s="16"/>
      <c r="D230" s="5"/>
      <c r="E230" s="13" t="s">
        <v>36</v>
      </c>
      <c r="F230" s="119">
        <f>F231</f>
        <v>6046.4</v>
      </c>
      <c r="G230" s="119">
        <f>G231</f>
        <v>6547.4</v>
      </c>
      <c r="H230" s="26">
        <f aca="true" t="shared" si="114" ref="G230:T231">H231</f>
        <v>0</v>
      </c>
      <c r="I230" s="26">
        <f t="shared" si="114"/>
        <v>0</v>
      </c>
      <c r="J230" s="26">
        <f t="shared" si="114"/>
        <v>501</v>
      </c>
      <c r="K230" s="26">
        <f t="shared" si="114"/>
        <v>0</v>
      </c>
      <c r="L230" s="26">
        <f t="shared" si="114"/>
        <v>0</v>
      </c>
      <c r="M230" s="158">
        <f t="shared" si="114"/>
        <v>0</v>
      </c>
      <c r="N230" s="26">
        <f t="shared" si="114"/>
        <v>0</v>
      </c>
      <c r="O230" s="189">
        <f t="shared" si="114"/>
        <v>0</v>
      </c>
      <c r="P230" s="26">
        <f t="shared" si="114"/>
        <v>0</v>
      </c>
      <c r="Q230" s="26">
        <f t="shared" si="114"/>
        <v>0</v>
      </c>
      <c r="R230" s="26">
        <f t="shared" si="114"/>
        <v>0</v>
      </c>
      <c r="S230" s="26">
        <f t="shared" si="114"/>
        <v>0</v>
      </c>
      <c r="T230" s="26">
        <f t="shared" si="114"/>
        <v>0</v>
      </c>
    </row>
    <row r="231" spans="1:20" s="25" customFormat="1" ht="51" hidden="1">
      <c r="A231" s="17"/>
      <c r="B231" s="17"/>
      <c r="C231" s="63" t="s">
        <v>174</v>
      </c>
      <c r="D231" s="11"/>
      <c r="E231" s="60" t="s">
        <v>110</v>
      </c>
      <c r="F231" s="95">
        <f>F232</f>
        <v>6046.4</v>
      </c>
      <c r="G231" s="95">
        <f t="shared" si="114"/>
        <v>6547.4</v>
      </c>
      <c r="H231" s="73">
        <f t="shared" si="114"/>
        <v>0</v>
      </c>
      <c r="I231" s="73">
        <f t="shared" si="114"/>
        <v>0</v>
      </c>
      <c r="J231" s="73">
        <f t="shared" si="114"/>
        <v>501</v>
      </c>
      <c r="K231" s="73">
        <f t="shared" si="114"/>
        <v>0</v>
      </c>
      <c r="L231" s="73">
        <f t="shared" si="114"/>
        <v>0</v>
      </c>
      <c r="M231" s="77">
        <f t="shared" si="114"/>
        <v>0</v>
      </c>
      <c r="N231" s="73">
        <f t="shared" si="114"/>
        <v>0</v>
      </c>
      <c r="O231" s="50">
        <f t="shared" si="114"/>
        <v>0</v>
      </c>
      <c r="P231" s="73">
        <f t="shared" si="114"/>
        <v>0</v>
      </c>
      <c r="Q231" s="73">
        <f t="shared" si="114"/>
        <v>0</v>
      </c>
      <c r="R231" s="73">
        <f t="shared" si="114"/>
        <v>0</v>
      </c>
      <c r="S231" s="73">
        <f t="shared" si="114"/>
        <v>0</v>
      </c>
      <c r="T231" s="73">
        <f t="shared" si="114"/>
        <v>0</v>
      </c>
    </row>
    <row r="232" spans="1:20" s="25" customFormat="1" ht="25.5" hidden="1">
      <c r="A232" s="17"/>
      <c r="B232" s="17"/>
      <c r="C232" s="82" t="s">
        <v>175</v>
      </c>
      <c r="D232" s="41"/>
      <c r="E232" s="61" t="s">
        <v>111</v>
      </c>
      <c r="F232" s="79">
        <f>F236+F233</f>
        <v>6046.4</v>
      </c>
      <c r="G232" s="79">
        <f aca="true" t="shared" si="115" ref="G232:O232">G236+G233</f>
        <v>6547.4</v>
      </c>
      <c r="H232" s="79">
        <f t="shared" si="115"/>
        <v>0</v>
      </c>
      <c r="I232" s="79">
        <f t="shared" si="115"/>
        <v>0</v>
      </c>
      <c r="J232" s="79">
        <f t="shared" si="115"/>
        <v>501</v>
      </c>
      <c r="K232" s="79">
        <f t="shared" si="115"/>
        <v>0</v>
      </c>
      <c r="L232" s="79">
        <f t="shared" si="115"/>
        <v>0</v>
      </c>
      <c r="M232" s="96">
        <f t="shared" si="115"/>
        <v>0</v>
      </c>
      <c r="N232" s="79">
        <f t="shared" si="115"/>
        <v>0</v>
      </c>
      <c r="O232" s="115">
        <f t="shared" si="115"/>
        <v>0</v>
      </c>
      <c r="P232" s="68">
        <f>P236</f>
        <v>0</v>
      </c>
      <c r="Q232" s="68">
        <f>Q236</f>
        <v>0</v>
      </c>
      <c r="R232" s="79">
        <f>R236+R233</f>
        <v>0</v>
      </c>
      <c r="S232" s="79">
        <f>S236+S233</f>
        <v>0</v>
      </c>
      <c r="T232" s="68">
        <f>T236</f>
        <v>0</v>
      </c>
    </row>
    <row r="233" spans="1:20" s="25" customFormat="1" ht="25.5" hidden="1">
      <c r="A233" s="17"/>
      <c r="B233" s="17"/>
      <c r="C233" s="66" t="s">
        <v>176</v>
      </c>
      <c r="D233" s="41"/>
      <c r="E233" s="57" t="s">
        <v>178</v>
      </c>
      <c r="F233" s="79">
        <f>F234</f>
        <v>0</v>
      </c>
      <c r="G233" s="79">
        <f aca="true" t="shared" si="116" ref="G233:O234">G234</f>
        <v>0</v>
      </c>
      <c r="H233" s="79">
        <f t="shared" si="116"/>
        <v>0</v>
      </c>
      <c r="I233" s="79">
        <f t="shared" si="116"/>
        <v>0</v>
      </c>
      <c r="J233" s="79">
        <f t="shared" si="116"/>
        <v>0</v>
      </c>
      <c r="K233" s="79">
        <f t="shared" si="116"/>
        <v>0</v>
      </c>
      <c r="L233" s="79">
        <f t="shared" si="116"/>
        <v>0</v>
      </c>
      <c r="M233" s="96">
        <f t="shared" si="116"/>
        <v>0</v>
      </c>
      <c r="N233" s="79">
        <f t="shared" si="116"/>
        <v>0</v>
      </c>
      <c r="O233" s="115">
        <f t="shared" si="116"/>
        <v>0</v>
      </c>
      <c r="P233" s="68"/>
      <c r="Q233" s="68"/>
      <c r="R233" s="79">
        <f>R234</f>
        <v>0</v>
      </c>
      <c r="S233" s="79">
        <f>S234</f>
        <v>0</v>
      </c>
      <c r="T233" s="68"/>
    </row>
    <row r="234" spans="1:20" s="25" customFormat="1" ht="25.5" hidden="1">
      <c r="A234" s="17"/>
      <c r="B234" s="17"/>
      <c r="C234" s="66" t="s">
        <v>177</v>
      </c>
      <c r="D234" s="41"/>
      <c r="E234" s="57" t="s">
        <v>179</v>
      </c>
      <c r="F234" s="79">
        <f>F235</f>
        <v>0</v>
      </c>
      <c r="G234" s="79">
        <f t="shared" si="116"/>
        <v>0</v>
      </c>
      <c r="H234" s="79">
        <f t="shared" si="116"/>
        <v>0</v>
      </c>
      <c r="I234" s="79">
        <f t="shared" si="116"/>
        <v>0</v>
      </c>
      <c r="J234" s="79">
        <f t="shared" si="116"/>
        <v>0</v>
      </c>
      <c r="K234" s="79">
        <f t="shared" si="116"/>
        <v>0</v>
      </c>
      <c r="L234" s="79">
        <f t="shared" si="116"/>
        <v>0</v>
      </c>
      <c r="M234" s="96">
        <f t="shared" si="116"/>
        <v>0</v>
      </c>
      <c r="N234" s="79">
        <f t="shared" si="116"/>
        <v>0</v>
      </c>
      <c r="O234" s="115">
        <f t="shared" si="116"/>
        <v>0</v>
      </c>
      <c r="P234" s="68"/>
      <c r="Q234" s="68"/>
      <c r="R234" s="79">
        <f>R235</f>
        <v>0</v>
      </c>
      <c r="S234" s="79">
        <f>S235</f>
        <v>0</v>
      </c>
      <c r="T234" s="68"/>
    </row>
    <row r="235" spans="1:20" s="25" customFormat="1" ht="25.5" hidden="1">
      <c r="A235" s="17"/>
      <c r="B235" s="17"/>
      <c r="C235" s="66"/>
      <c r="D235" s="41" t="s">
        <v>3</v>
      </c>
      <c r="E235" s="67" t="s">
        <v>95</v>
      </c>
      <c r="F235" s="79"/>
      <c r="G235" s="93">
        <f>F235+SUM(H235:T235)</f>
        <v>0</v>
      </c>
      <c r="H235" s="68"/>
      <c r="I235" s="68"/>
      <c r="J235" s="68"/>
      <c r="K235" s="68"/>
      <c r="L235" s="68"/>
      <c r="M235" s="70"/>
      <c r="N235" s="68"/>
      <c r="O235" s="51"/>
      <c r="P235" s="68"/>
      <c r="Q235" s="68"/>
      <c r="R235" s="68"/>
      <c r="S235" s="68"/>
      <c r="T235" s="68"/>
    </row>
    <row r="236" spans="1:20" s="25" customFormat="1" ht="25.5" hidden="1">
      <c r="A236" s="17"/>
      <c r="B236" s="17"/>
      <c r="C236" s="66" t="s">
        <v>180</v>
      </c>
      <c r="D236" s="41"/>
      <c r="E236" s="67" t="s">
        <v>165</v>
      </c>
      <c r="F236" s="79">
        <f>F237</f>
        <v>6046.4</v>
      </c>
      <c r="G236" s="79">
        <f aca="true" t="shared" si="117" ref="G236:T236">G237</f>
        <v>6547.4</v>
      </c>
      <c r="H236" s="68">
        <f t="shared" si="117"/>
        <v>0</v>
      </c>
      <c r="I236" s="68">
        <f t="shared" si="117"/>
        <v>0</v>
      </c>
      <c r="J236" s="68">
        <f t="shared" si="117"/>
        <v>501</v>
      </c>
      <c r="K236" s="68">
        <f t="shared" si="117"/>
        <v>0</v>
      </c>
      <c r="L236" s="68">
        <f t="shared" si="117"/>
        <v>0</v>
      </c>
      <c r="M236" s="70">
        <f t="shared" si="117"/>
        <v>0</v>
      </c>
      <c r="N236" s="68">
        <f t="shared" si="117"/>
        <v>0</v>
      </c>
      <c r="O236" s="51">
        <f t="shared" si="117"/>
        <v>0</v>
      </c>
      <c r="P236" s="68">
        <f t="shared" si="117"/>
        <v>0</v>
      </c>
      <c r="Q236" s="68">
        <f t="shared" si="117"/>
        <v>0</v>
      </c>
      <c r="R236" s="68">
        <f t="shared" si="117"/>
        <v>0</v>
      </c>
      <c r="S236" s="68">
        <f t="shared" si="117"/>
        <v>0</v>
      </c>
      <c r="T236" s="68">
        <f t="shared" si="117"/>
        <v>0</v>
      </c>
    </row>
    <row r="237" spans="1:20" s="25" customFormat="1" ht="25.5" hidden="1">
      <c r="A237" s="17"/>
      <c r="B237" s="17"/>
      <c r="C237" s="66" t="s">
        <v>181</v>
      </c>
      <c r="D237" s="41"/>
      <c r="E237" s="57" t="s">
        <v>166</v>
      </c>
      <c r="F237" s="93">
        <f>F238+F239+F240</f>
        <v>6046.4</v>
      </c>
      <c r="G237" s="93">
        <f aca="true" t="shared" si="118" ref="G237:T237">G238+G239+G240</f>
        <v>6547.4</v>
      </c>
      <c r="H237" s="64">
        <f t="shared" si="118"/>
        <v>0</v>
      </c>
      <c r="I237" s="64">
        <f t="shared" si="118"/>
        <v>0</v>
      </c>
      <c r="J237" s="64">
        <f t="shared" si="118"/>
        <v>501</v>
      </c>
      <c r="K237" s="64">
        <f t="shared" si="118"/>
        <v>0</v>
      </c>
      <c r="L237" s="64">
        <f t="shared" si="118"/>
        <v>0</v>
      </c>
      <c r="M237" s="78">
        <f t="shared" si="118"/>
        <v>0</v>
      </c>
      <c r="N237" s="64">
        <f t="shared" si="118"/>
        <v>0</v>
      </c>
      <c r="O237" s="191">
        <f t="shared" si="118"/>
        <v>0</v>
      </c>
      <c r="P237" s="64">
        <f t="shared" si="118"/>
        <v>0</v>
      </c>
      <c r="Q237" s="64">
        <f t="shared" si="118"/>
        <v>0</v>
      </c>
      <c r="R237" s="64">
        <f>R238+R239+R240</f>
        <v>0</v>
      </c>
      <c r="S237" s="64">
        <f>S238+S239+S240</f>
        <v>0</v>
      </c>
      <c r="T237" s="64">
        <f t="shared" si="118"/>
        <v>0</v>
      </c>
    </row>
    <row r="238" spans="1:20" s="25" customFormat="1" ht="51" hidden="1">
      <c r="A238" s="17"/>
      <c r="B238" s="17"/>
      <c r="C238" s="66"/>
      <c r="D238" s="41" t="s">
        <v>2</v>
      </c>
      <c r="E238" s="67" t="s">
        <v>94</v>
      </c>
      <c r="F238" s="93">
        <v>5445.9</v>
      </c>
      <c r="G238" s="93">
        <f>F238+SUM(H238:T238)</f>
        <v>5946.9</v>
      </c>
      <c r="H238" s="64"/>
      <c r="I238" s="68"/>
      <c r="J238" s="69">
        <v>501</v>
      </c>
      <c r="K238" s="69"/>
      <c r="L238" s="68"/>
      <c r="M238" s="78"/>
      <c r="N238" s="68"/>
      <c r="O238" s="51"/>
      <c r="P238" s="70"/>
      <c r="Q238" s="70"/>
      <c r="R238" s="68"/>
      <c r="S238" s="68"/>
      <c r="T238" s="70"/>
    </row>
    <row r="239" spans="1:20" s="25" customFormat="1" ht="25.5" hidden="1">
      <c r="A239" s="17"/>
      <c r="B239" s="17"/>
      <c r="C239" s="66"/>
      <c r="D239" s="41" t="s">
        <v>3</v>
      </c>
      <c r="E239" s="67" t="s">
        <v>95</v>
      </c>
      <c r="F239" s="93">
        <v>600.3</v>
      </c>
      <c r="G239" s="93">
        <f>F239+SUM(H239:T239)</f>
        <v>600.3</v>
      </c>
      <c r="H239" s="64"/>
      <c r="I239" s="64"/>
      <c r="J239" s="65">
        <v>0</v>
      </c>
      <c r="K239" s="65"/>
      <c r="L239" s="64"/>
      <c r="M239" s="78"/>
      <c r="N239" s="64"/>
      <c r="O239" s="191"/>
      <c r="P239" s="64"/>
      <c r="Q239" s="64"/>
      <c r="R239" s="64"/>
      <c r="S239" s="64"/>
      <c r="T239" s="64"/>
    </row>
    <row r="240" spans="1:20" s="25" customFormat="1" ht="12.75" hidden="1">
      <c r="A240" s="17"/>
      <c r="B240" s="17"/>
      <c r="C240" s="66"/>
      <c r="D240" s="41" t="s">
        <v>4</v>
      </c>
      <c r="E240" s="67" t="s">
        <v>5</v>
      </c>
      <c r="F240" s="93">
        <v>0.2</v>
      </c>
      <c r="G240" s="93">
        <f>F240+SUM(H240:T240)</f>
        <v>0.2</v>
      </c>
      <c r="H240" s="74"/>
      <c r="I240" s="64"/>
      <c r="J240" s="65"/>
      <c r="K240" s="65"/>
      <c r="L240" s="64"/>
      <c r="M240" s="78"/>
      <c r="N240" s="64"/>
      <c r="O240" s="191"/>
      <c r="P240" s="64"/>
      <c r="Q240" s="64"/>
      <c r="R240" s="64"/>
      <c r="S240" s="64"/>
      <c r="T240" s="64">
        <f>T241</f>
        <v>0</v>
      </c>
    </row>
    <row r="241" spans="1:20" s="24" customFormat="1" ht="12">
      <c r="A241" s="5"/>
      <c r="B241" s="5" t="s">
        <v>84</v>
      </c>
      <c r="C241" s="16"/>
      <c r="D241" s="5"/>
      <c r="E241" s="20" t="s">
        <v>39</v>
      </c>
      <c r="F241" s="119">
        <f>F242+F248</f>
        <v>9722.7</v>
      </c>
      <c r="G241" s="119">
        <f aca="true" t="shared" si="119" ref="G241:T241">G242+G248</f>
        <v>8328.536</v>
      </c>
      <c r="H241" s="119">
        <f t="shared" si="119"/>
        <v>0</v>
      </c>
      <c r="I241" s="119">
        <f t="shared" si="119"/>
        <v>0</v>
      </c>
      <c r="J241" s="119">
        <f t="shared" si="119"/>
        <v>32.4</v>
      </c>
      <c r="K241" s="119">
        <f t="shared" si="119"/>
        <v>0</v>
      </c>
      <c r="L241" s="119">
        <f t="shared" si="119"/>
        <v>10.8</v>
      </c>
      <c r="M241" s="119">
        <f t="shared" si="119"/>
        <v>0</v>
      </c>
      <c r="N241" s="119">
        <f t="shared" si="119"/>
        <v>0</v>
      </c>
      <c r="O241" s="119">
        <f t="shared" si="119"/>
        <v>54.836</v>
      </c>
      <c r="P241" s="119">
        <f t="shared" si="119"/>
        <v>-1000</v>
      </c>
      <c r="Q241" s="119">
        <f t="shared" si="119"/>
        <v>-177</v>
      </c>
      <c r="R241" s="119">
        <f>R242+R248</f>
        <v>-300</v>
      </c>
      <c r="S241" s="119">
        <f>S242+S248</f>
        <v>-15.199999999999989</v>
      </c>
      <c r="T241" s="119">
        <f t="shared" si="119"/>
        <v>0</v>
      </c>
    </row>
    <row r="242" spans="1:20" s="25" customFormat="1" ht="51">
      <c r="A242" s="17"/>
      <c r="B242" s="17"/>
      <c r="C242" s="63" t="s">
        <v>174</v>
      </c>
      <c r="D242" s="11"/>
      <c r="E242" s="60" t="s">
        <v>110</v>
      </c>
      <c r="F242" s="95">
        <f>F243</f>
        <v>9722.7</v>
      </c>
      <c r="G242" s="95">
        <f aca="true" t="shared" si="120" ref="G242:S242">G243</f>
        <v>8234.2</v>
      </c>
      <c r="H242" s="95">
        <f t="shared" si="120"/>
        <v>0</v>
      </c>
      <c r="I242" s="95">
        <f t="shared" si="120"/>
        <v>0</v>
      </c>
      <c r="J242" s="95">
        <f t="shared" si="120"/>
        <v>32.4</v>
      </c>
      <c r="K242" s="95">
        <f t="shared" si="120"/>
        <v>0</v>
      </c>
      <c r="L242" s="95">
        <f t="shared" si="120"/>
        <v>10.8</v>
      </c>
      <c r="M242" s="95">
        <f t="shared" si="120"/>
        <v>0</v>
      </c>
      <c r="N242" s="95">
        <f t="shared" si="120"/>
        <v>0</v>
      </c>
      <c r="O242" s="95">
        <f t="shared" si="120"/>
        <v>10.8</v>
      </c>
      <c r="P242" s="95">
        <f t="shared" si="120"/>
        <v>-1000</v>
      </c>
      <c r="Q242" s="95">
        <f t="shared" si="120"/>
        <v>-227.3</v>
      </c>
      <c r="R242" s="95">
        <f t="shared" si="120"/>
        <v>-300</v>
      </c>
      <c r="S242" s="95">
        <f t="shared" si="120"/>
        <v>-15.199999999999989</v>
      </c>
      <c r="T242" s="73">
        <f aca="true" t="shared" si="121" ref="G242:T244">T243</f>
        <v>0</v>
      </c>
    </row>
    <row r="243" spans="1:20" s="25" customFormat="1" ht="25.5">
      <c r="A243" s="17"/>
      <c r="B243" s="17"/>
      <c r="C243" s="82" t="s">
        <v>175</v>
      </c>
      <c r="D243" s="41"/>
      <c r="E243" s="61" t="s">
        <v>111</v>
      </c>
      <c r="F243" s="79">
        <f>F244</f>
        <v>9722.7</v>
      </c>
      <c r="G243" s="79">
        <f t="shared" si="121"/>
        <v>8234.2</v>
      </c>
      <c r="H243" s="68">
        <f t="shared" si="121"/>
        <v>0</v>
      </c>
      <c r="I243" s="68">
        <f t="shared" si="121"/>
        <v>0</v>
      </c>
      <c r="J243" s="68">
        <f t="shared" si="121"/>
        <v>32.4</v>
      </c>
      <c r="K243" s="68">
        <f t="shared" si="121"/>
        <v>0</v>
      </c>
      <c r="L243" s="68">
        <f t="shared" si="121"/>
        <v>10.8</v>
      </c>
      <c r="M243" s="70">
        <f t="shared" si="121"/>
        <v>0</v>
      </c>
      <c r="N243" s="68">
        <f t="shared" si="121"/>
        <v>0</v>
      </c>
      <c r="O243" s="51">
        <f t="shared" si="121"/>
        <v>10.8</v>
      </c>
      <c r="P243" s="68">
        <f t="shared" si="121"/>
        <v>-1000</v>
      </c>
      <c r="Q243" s="68">
        <f t="shared" si="121"/>
        <v>-227.3</v>
      </c>
      <c r="R243" s="68">
        <f t="shared" si="121"/>
        <v>-300</v>
      </c>
      <c r="S243" s="68">
        <f t="shared" si="121"/>
        <v>-15.199999999999989</v>
      </c>
      <c r="T243" s="68">
        <f t="shared" si="121"/>
        <v>0</v>
      </c>
    </row>
    <row r="244" spans="1:20" s="25" customFormat="1" ht="25.5">
      <c r="A244" s="17"/>
      <c r="B244" s="17"/>
      <c r="C244" s="66" t="s">
        <v>176</v>
      </c>
      <c r="D244" s="41"/>
      <c r="E244" s="57" t="s">
        <v>178</v>
      </c>
      <c r="F244" s="79">
        <f>F245</f>
        <v>9722.7</v>
      </c>
      <c r="G244" s="79">
        <f t="shared" si="121"/>
        <v>8234.2</v>
      </c>
      <c r="H244" s="68">
        <f t="shared" si="121"/>
        <v>0</v>
      </c>
      <c r="I244" s="68">
        <f t="shared" si="121"/>
        <v>0</v>
      </c>
      <c r="J244" s="68">
        <f t="shared" si="121"/>
        <v>32.4</v>
      </c>
      <c r="K244" s="68">
        <f t="shared" si="121"/>
        <v>0</v>
      </c>
      <c r="L244" s="68">
        <f t="shared" si="121"/>
        <v>10.8</v>
      </c>
      <c r="M244" s="70">
        <f t="shared" si="121"/>
        <v>0</v>
      </c>
      <c r="N244" s="68">
        <f t="shared" si="121"/>
        <v>0</v>
      </c>
      <c r="O244" s="51">
        <f t="shared" si="121"/>
        <v>10.8</v>
      </c>
      <c r="P244" s="68">
        <f t="shared" si="121"/>
        <v>-1000</v>
      </c>
      <c r="Q244" s="68">
        <f t="shared" si="121"/>
        <v>-227.3</v>
      </c>
      <c r="R244" s="68">
        <f t="shared" si="121"/>
        <v>-300</v>
      </c>
      <c r="S244" s="68">
        <f t="shared" si="121"/>
        <v>-15.199999999999989</v>
      </c>
      <c r="T244" s="68">
        <f t="shared" si="121"/>
        <v>0</v>
      </c>
    </row>
    <row r="245" spans="1:20" s="25" customFormat="1" ht="25.5">
      <c r="A245" s="17"/>
      <c r="B245" s="17"/>
      <c r="C245" s="66" t="s">
        <v>177</v>
      </c>
      <c r="D245" s="41"/>
      <c r="E245" s="57" t="s">
        <v>179</v>
      </c>
      <c r="F245" s="79">
        <f>F246+F247</f>
        <v>9722.7</v>
      </c>
      <c r="G245" s="79">
        <f aca="true" t="shared" si="122" ref="G245:T245">G246+G247</f>
        <v>8234.2</v>
      </c>
      <c r="H245" s="68">
        <f t="shared" si="122"/>
        <v>0</v>
      </c>
      <c r="I245" s="68">
        <f t="shared" si="122"/>
        <v>0</v>
      </c>
      <c r="J245" s="68">
        <f t="shared" si="122"/>
        <v>32.4</v>
      </c>
      <c r="K245" s="68">
        <f t="shared" si="122"/>
        <v>0</v>
      </c>
      <c r="L245" s="68">
        <f t="shared" si="122"/>
        <v>10.8</v>
      </c>
      <c r="M245" s="70">
        <f t="shared" si="122"/>
        <v>0</v>
      </c>
      <c r="N245" s="68">
        <f t="shared" si="122"/>
        <v>0</v>
      </c>
      <c r="O245" s="51">
        <f t="shared" si="122"/>
        <v>10.8</v>
      </c>
      <c r="P245" s="68">
        <f t="shared" si="122"/>
        <v>-1000</v>
      </c>
      <c r="Q245" s="68">
        <f t="shared" si="122"/>
        <v>-227.3</v>
      </c>
      <c r="R245" s="68">
        <f>R246+R247</f>
        <v>-300</v>
      </c>
      <c r="S245" s="68">
        <f>S246+S247</f>
        <v>-15.199999999999989</v>
      </c>
      <c r="T245" s="68">
        <f t="shared" si="122"/>
        <v>0</v>
      </c>
    </row>
    <row r="246" spans="1:20" s="25" customFormat="1" ht="25.5">
      <c r="A246" s="17"/>
      <c r="B246" s="17"/>
      <c r="C246" s="66"/>
      <c r="D246" s="41" t="s">
        <v>3</v>
      </c>
      <c r="E246" s="67" t="s">
        <v>95</v>
      </c>
      <c r="F246" s="79">
        <v>8222.7</v>
      </c>
      <c r="G246" s="93">
        <f>F246+SUM(H246:T246)</f>
        <v>7716.700000000001</v>
      </c>
      <c r="H246" s="93"/>
      <c r="I246" s="68"/>
      <c r="J246" s="69">
        <v>32.4</v>
      </c>
      <c r="K246" s="69"/>
      <c r="L246" s="68">
        <v>10.8</v>
      </c>
      <c r="M246" s="70"/>
      <c r="N246" s="70"/>
      <c r="O246" s="51">
        <v>10.8</v>
      </c>
      <c r="P246" s="68">
        <v>-100</v>
      </c>
      <c r="Q246" s="70"/>
      <c r="R246" s="70">
        <v>-300</v>
      </c>
      <c r="S246" s="68">
        <v>-160</v>
      </c>
      <c r="T246" s="70"/>
    </row>
    <row r="247" spans="1:20" s="25" customFormat="1" ht="12.75">
      <c r="A247" s="17"/>
      <c r="B247" s="17"/>
      <c r="C247" s="66"/>
      <c r="D247" s="41" t="s">
        <v>4</v>
      </c>
      <c r="E247" s="67" t="s">
        <v>5</v>
      </c>
      <c r="F247" s="79">
        <v>1500</v>
      </c>
      <c r="G247" s="93">
        <f>F247+SUM(H247:T247)</f>
        <v>517.5</v>
      </c>
      <c r="H247" s="74"/>
      <c r="I247" s="68"/>
      <c r="J247" s="69"/>
      <c r="K247" s="69"/>
      <c r="L247" s="68"/>
      <c r="M247" s="70"/>
      <c r="N247" s="68"/>
      <c r="O247" s="51"/>
      <c r="P247" s="68">
        <v>-900</v>
      </c>
      <c r="Q247" s="68">
        <f>-95.3-132</f>
        <v>-227.3</v>
      </c>
      <c r="R247" s="68"/>
      <c r="S247" s="68">
        <v>144.8</v>
      </c>
      <c r="T247" s="68"/>
    </row>
    <row r="248" spans="1:20" s="25" customFormat="1" ht="25.5" hidden="1">
      <c r="A248" s="17"/>
      <c r="B248" s="17"/>
      <c r="C248" s="63" t="s">
        <v>425</v>
      </c>
      <c r="D248" s="11"/>
      <c r="E248" s="84" t="s">
        <v>143</v>
      </c>
      <c r="F248" s="95">
        <f>F249</f>
        <v>0</v>
      </c>
      <c r="G248" s="95">
        <f aca="true" t="shared" si="123" ref="G248:S249">G249</f>
        <v>94.336</v>
      </c>
      <c r="H248" s="95">
        <f t="shared" si="123"/>
        <v>0</v>
      </c>
      <c r="I248" s="95">
        <f t="shared" si="123"/>
        <v>0</v>
      </c>
      <c r="J248" s="95">
        <f t="shared" si="123"/>
        <v>0</v>
      </c>
      <c r="K248" s="95">
        <f t="shared" si="123"/>
        <v>0</v>
      </c>
      <c r="L248" s="95">
        <f t="shared" si="123"/>
        <v>0</v>
      </c>
      <c r="M248" s="95">
        <f t="shared" si="123"/>
        <v>0</v>
      </c>
      <c r="N248" s="95">
        <f t="shared" si="123"/>
        <v>0</v>
      </c>
      <c r="O248" s="95">
        <f t="shared" si="123"/>
        <v>44.036</v>
      </c>
      <c r="P248" s="95">
        <f t="shared" si="123"/>
        <v>0</v>
      </c>
      <c r="Q248" s="95">
        <f t="shared" si="123"/>
        <v>50.3</v>
      </c>
      <c r="R248" s="95">
        <f t="shared" si="123"/>
        <v>0</v>
      </c>
      <c r="S248" s="95">
        <f t="shared" si="123"/>
        <v>0</v>
      </c>
      <c r="T248" s="73"/>
    </row>
    <row r="249" spans="1:20" s="25" customFormat="1" ht="38.25" hidden="1">
      <c r="A249" s="17"/>
      <c r="B249" s="17"/>
      <c r="C249" s="66" t="s">
        <v>426</v>
      </c>
      <c r="D249" s="41"/>
      <c r="E249" s="57" t="s">
        <v>479</v>
      </c>
      <c r="F249" s="79">
        <f>F250</f>
        <v>0</v>
      </c>
      <c r="G249" s="79">
        <f t="shared" si="123"/>
        <v>94.336</v>
      </c>
      <c r="H249" s="79">
        <f t="shared" si="123"/>
        <v>0</v>
      </c>
      <c r="I249" s="79">
        <f t="shared" si="123"/>
        <v>0</v>
      </c>
      <c r="J249" s="79">
        <f t="shared" si="123"/>
        <v>0</v>
      </c>
      <c r="K249" s="79">
        <f t="shared" si="123"/>
        <v>0</v>
      </c>
      <c r="L249" s="79">
        <f t="shared" si="123"/>
        <v>0</v>
      </c>
      <c r="M249" s="79">
        <f t="shared" si="123"/>
        <v>0</v>
      </c>
      <c r="N249" s="79">
        <f t="shared" si="123"/>
        <v>0</v>
      </c>
      <c r="O249" s="79">
        <f t="shared" si="123"/>
        <v>44.036</v>
      </c>
      <c r="P249" s="79">
        <f t="shared" si="123"/>
        <v>0</v>
      </c>
      <c r="Q249" s="79">
        <f t="shared" si="123"/>
        <v>50.3</v>
      </c>
      <c r="R249" s="79">
        <f t="shared" si="123"/>
        <v>0</v>
      </c>
      <c r="S249" s="79">
        <f t="shared" si="123"/>
        <v>0</v>
      </c>
      <c r="T249" s="68"/>
    </row>
    <row r="250" spans="1:20" s="25" customFormat="1" ht="12.75" hidden="1">
      <c r="A250" s="17"/>
      <c r="B250" s="17"/>
      <c r="C250" s="66"/>
      <c r="D250" s="41" t="s">
        <v>4</v>
      </c>
      <c r="E250" s="67" t="s">
        <v>5</v>
      </c>
      <c r="F250" s="79"/>
      <c r="G250" s="93">
        <f>F250+SUM(H250:T250)</f>
        <v>94.336</v>
      </c>
      <c r="H250" s="74"/>
      <c r="I250" s="68"/>
      <c r="J250" s="69"/>
      <c r="K250" s="69"/>
      <c r="L250" s="68"/>
      <c r="M250" s="70"/>
      <c r="N250" s="68"/>
      <c r="O250" s="51">
        <v>44.036</v>
      </c>
      <c r="P250" s="68"/>
      <c r="Q250" s="68">
        <v>50.3</v>
      </c>
      <c r="R250" s="68"/>
      <c r="S250" s="68"/>
      <c r="T250" s="68"/>
    </row>
    <row r="251" spans="1:20" s="25" customFormat="1" ht="24" hidden="1">
      <c r="A251" s="17"/>
      <c r="B251" s="5" t="s">
        <v>40</v>
      </c>
      <c r="C251" s="18"/>
      <c r="D251" s="17"/>
      <c r="E251" s="20" t="s">
        <v>41</v>
      </c>
      <c r="F251" s="73">
        <f>F258+F252+F270</f>
        <v>500</v>
      </c>
      <c r="G251" s="73">
        <f aca="true" t="shared" si="124" ref="G251:T251">G258+G252+G270</f>
        <v>750.8</v>
      </c>
      <c r="H251" s="73">
        <f t="shared" si="124"/>
        <v>0</v>
      </c>
      <c r="I251" s="73">
        <f t="shared" si="124"/>
        <v>0</v>
      </c>
      <c r="J251" s="73">
        <f t="shared" si="124"/>
        <v>0</v>
      </c>
      <c r="K251" s="73">
        <f t="shared" si="124"/>
        <v>0</v>
      </c>
      <c r="L251" s="73">
        <f t="shared" si="124"/>
        <v>0</v>
      </c>
      <c r="M251" s="77">
        <f t="shared" si="124"/>
        <v>0</v>
      </c>
      <c r="N251" s="73">
        <f t="shared" si="124"/>
        <v>0</v>
      </c>
      <c r="O251" s="50">
        <f t="shared" si="124"/>
        <v>0</v>
      </c>
      <c r="P251" s="73">
        <f t="shared" si="124"/>
        <v>250.8</v>
      </c>
      <c r="Q251" s="73">
        <f t="shared" si="124"/>
        <v>0</v>
      </c>
      <c r="R251" s="73">
        <f>R258+R252+R270</f>
        <v>0</v>
      </c>
      <c r="S251" s="73">
        <f>S258+S252+S270</f>
        <v>0</v>
      </c>
      <c r="T251" s="73">
        <f t="shared" si="124"/>
        <v>0</v>
      </c>
    </row>
    <row r="252" spans="1:20" s="25" customFormat="1" ht="36" hidden="1">
      <c r="A252" s="17"/>
      <c r="B252" s="5" t="s">
        <v>42</v>
      </c>
      <c r="C252" s="18"/>
      <c r="D252" s="17"/>
      <c r="E252" s="20" t="s">
        <v>43</v>
      </c>
      <c r="F252" s="73">
        <f>F253</f>
        <v>100</v>
      </c>
      <c r="G252" s="73">
        <f aca="true" t="shared" si="125" ref="G252:T256">G253</f>
        <v>0</v>
      </c>
      <c r="H252" s="73">
        <f t="shared" si="125"/>
        <v>0</v>
      </c>
      <c r="I252" s="73">
        <f t="shared" si="125"/>
        <v>0</v>
      </c>
      <c r="J252" s="73">
        <f t="shared" si="125"/>
        <v>0</v>
      </c>
      <c r="K252" s="73">
        <f t="shared" si="125"/>
        <v>0</v>
      </c>
      <c r="L252" s="73">
        <f t="shared" si="125"/>
        <v>0</v>
      </c>
      <c r="M252" s="77">
        <f t="shared" si="125"/>
        <v>-100</v>
      </c>
      <c r="N252" s="73">
        <f t="shared" si="125"/>
        <v>0</v>
      </c>
      <c r="O252" s="50">
        <f t="shared" si="125"/>
        <v>0</v>
      </c>
      <c r="P252" s="73">
        <f t="shared" si="125"/>
        <v>0</v>
      </c>
      <c r="Q252" s="73">
        <f t="shared" si="125"/>
        <v>0</v>
      </c>
      <c r="R252" s="73">
        <f t="shared" si="125"/>
        <v>0</v>
      </c>
      <c r="S252" s="73">
        <f t="shared" si="125"/>
        <v>0</v>
      </c>
      <c r="T252" s="73">
        <f t="shared" si="125"/>
        <v>0</v>
      </c>
    </row>
    <row r="253" spans="1:20" s="25" customFormat="1" ht="38.25" hidden="1">
      <c r="A253" s="17"/>
      <c r="B253" s="5"/>
      <c r="C253" s="63" t="s">
        <v>200</v>
      </c>
      <c r="D253" s="11"/>
      <c r="E253" s="60" t="s">
        <v>114</v>
      </c>
      <c r="F253" s="73">
        <f>F254</f>
        <v>100</v>
      </c>
      <c r="G253" s="73">
        <f t="shared" si="125"/>
        <v>0</v>
      </c>
      <c r="H253" s="73">
        <f t="shared" si="125"/>
        <v>0</v>
      </c>
      <c r="I253" s="73">
        <f t="shared" si="125"/>
        <v>0</v>
      </c>
      <c r="J253" s="73">
        <f t="shared" si="125"/>
        <v>0</v>
      </c>
      <c r="K253" s="73">
        <f t="shared" si="125"/>
        <v>0</v>
      </c>
      <c r="L253" s="73">
        <f t="shared" si="125"/>
        <v>0</v>
      </c>
      <c r="M253" s="77">
        <f t="shared" si="125"/>
        <v>-100</v>
      </c>
      <c r="N253" s="73">
        <f t="shared" si="125"/>
        <v>0</v>
      </c>
      <c r="O253" s="50">
        <f t="shared" si="125"/>
        <v>0</v>
      </c>
      <c r="P253" s="73">
        <f t="shared" si="125"/>
        <v>0</v>
      </c>
      <c r="Q253" s="73">
        <f t="shared" si="125"/>
        <v>0</v>
      </c>
      <c r="R253" s="73">
        <f t="shared" si="125"/>
        <v>0</v>
      </c>
      <c r="S253" s="73">
        <f t="shared" si="125"/>
        <v>0</v>
      </c>
      <c r="T253" s="73">
        <f t="shared" si="125"/>
        <v>0</v>
      </c>
    </row>
    <row r="254" spans="1:20" s="25" customFormat="1" ht="25.5" hidden="1">
      <c r="A254" s="17"/>
      <c r="B254" s="5"/>
      <c r="C254" s="162" t="s">
        <v>495</v>
      </c>
      <c r="D254" s="136"/>
      <c r="E254" s="137" t="s">
        <v>494</v>
      </c>
      <c r="F254" s="68">
        <f>F255</f>
        <v>100</v>
      </c>
      <c r="G254" s="68">
        <f t="shared" si="125"/>
        <v>0</v>
      </c>
      <c r="H254" s="73">
        <f t="shared" si="125"/>
        <v>0</v>
      </c>
      <c r="I254" s="73">
        <f t="shared" si="125"/>
        <v>0</v>
      </c>
      <c r="J254" s="73">
        <f t="shared" si="125"/>
        <v>0</v>
      </c>
      <c r="K254" s="73">
        <f t="shared" si="125"/>
        <v>0</v>
      </c>
      <c r="L254" s="73">
        <f t="shared" si="125"/>
        <v>0</v>
      </c>
      <c r="M254" s="70">
        <f t="shared" si="125"/>
        <v>-100</v>
      </c>
      <c r="N254" s="73">
        <f t="shared" si="125"/>
        <v>0</v>
      </c>
      <c r="O254" s="50">
        <f t="shared" si="125"/>
        <v>0</v>
      </c>
      <c r="P254" s="73">
        <f t="shared" si="125"/>
        <v>0</v>
      </c>
      <c r="Q254" s="73">
        <f t="shared" si="125"/>
        <v>0</v>
      </c>
      <c r="R254" s="73">
        <f t="shared" si="125"/>
        <v>0</v>
      </c>
      <c r="S254" s="73">
        <f t="shared" si="125"/>
        <v>0</v>
      </c>
      <c r="T254" s="73">
        <f t="shared" si="125"/>
        <v>0</v>
      </c>
    </row>
    <row r="255" spans="1:20" s="25" customFormat="1" ht="38.25" hidden="1">
      <c r="A255" s="17"/>
      <c r="B255" s="5"/>
      <c r="C255" s="147" t="s">
        <v>496</v>
      </c>
      <c r="D255" s="107"/>
      <c r="E255" s="138" t="s">
        <v>517</v>
      </c>
      <c r="F255" s="68">
        <f>F256</f>
        <v>100</v>
      </c>
      <c r="G255" s="68">
        <f t="shared" si="125"/>
        <v>0</v>
      </c>
      <c r="H255" s="73">
        <f t="shared" si="125"/>
        <v>0</v>
      </c>
      <c r="I255" s="73">
        <f t="shared" si="125"/>
        <v>0</v>
      </c>
      <c r="J255" s="73">
        <f t="shared" si="125"/>
        <v>0</v>
      </c>
      <c r="K255" s="73">
        <f t="shared" si="125"/>
        <v>0</v>
      </c>
      <c r="L255" s="73">
        <f t="shared" si="125"/>
        <v>0</v>
      </c>
      <c r="M255" s="70">
        <f t="shared" si="125"/>
        <v>-100</v>
      </c>
      <c r="N255" s="73">
        <f t="shared" si="125"/>
        <v>0</v>
      </c>
      <c r="O255" s="50">
        <f t="shared" si="125"/>
        <v>0</v>
      </c>
      <c r="P255" s="73">
        <f t="shared" si="125"/>
        <v>0</v>
      </c>
      <c r="Q255" s="73">
        <f t="shared" si="125"/>
        <v>0</v>
      </c>
      <c r="R255" s="73">
        <f t="shared" si="125"/>
        <v>0</v>
      </c>
      <c r="S255" s="73">
        <f t="shared" si="125"/>
        <v>0</v>
      </c>
      <c r="T255" s="73">
        <f t="shared" si="125"/>
        <v>0</v>
      </c>
    </row>
    <row r="256" spans="1:20" s="25" customFormat="1" ht="25.5" hidden="1">
      <c r="A256" s="17"/>
      <c r="B256" s="5"/>
      <c r="C256" s="147" t="s">
        <v>504</v>
      </c>
      <c r="D256" s="41"/>
      <c r="E256" s="67" t="s">
        <v>213</v>
      </c>
      <c r="F256" s="68">
        <f>F257</f>
        <v>100</v>
      </c>
      <c r="G256" s="68">
        <f t="shared" si="125"/>
        <v>0</v>
      </c>
      <c r="H256" s="73">
        <f t="shared" si="125"/>
        <v>0</v>
      </c>
      <c r="I256" s="73">
        <f t="shared" si="125"/>
        <v>0</v>
      </c>
      <c r="J256" s="73">
        <f t="shared" si="125"/>
        <v>0</v>
      </c>
      <c r="K256" s="73">
        <f t="shared" si="125"/>
        <v>0</v>
      </c>
      <c r="L256" s="73">
        <f t="shared" si="125"/>
        <v>0</v>
      </c>
      <c r="M256" s="70">
        <f t="shared" si="125"/>
        <v>-100</v>
      </c>
      <c r="N256" s="73">
        <f t="shared" si="125"/>
        <v>0</v>
      </c>
      <c r="O256" s="50">
        <f t="shared" si="125"/>
        <v>0</v>
      </c>
      <c r="P256" s="73">
        <f t="shared" si="125"/>
        <v>0</v>
      </c>
      <c r="Q256" s="73">
        <f t="shared" si="125"/>
        <v>0</v>
      </c>
      <c r="R256" s="73">
        <f t="shared" si="125"/>
        <v>0</v>
      </c>
      <c r="S256" s="73">
        <f t="shared" si="125"/>
        <v>0</v>
      </c>
      <c r="T256" s="73">
        <f t="shared" si="125"/>
        <v>0</v>
      </c>
    </row>
    <row r="257" spans="1:20" s="25" customFormat="1" ht="25.5" hidden="1">
      <c r="A257" s="17"/>
      <c r="B257" s="5"/>
      <c r="C257" s="66"/>
      <c r="D257" s="41" t="s">
        <v>3</v>
      </c>
      <c r="E257" s="67" t="s">
        <v>95</v>
      </c>
      <c r="F257" s="68">
        <v>100</v>
      </c>
      <c r="G257" s="93">
        <f>F257+SUM(H257:T257)</f>
        <v>0</v>
      </c>
      <c r="H257" s="73"/>
      <c r="I257" s="73"/>
      <c r="J257" s="73"/>
      <c r="K257" s="73"/>
      <c r="L257" s="73"/>
      <c r="M257" s="70">
        <f>-100</f>
        <v>-100</v>
      </c>
      <c r="N257" s="73"/>
      <c r="O257" s="50"/>
      <c r="P257" s="68"/>
      <c r="Q257" s="68"/>
      <c r="R257" s="73"/>
      <c r="S257" s="73"/>
      <c r="T257" s="68"/>
    </row>
    <row r="258" spans="1:20" s="25" customFormat="1" ht="12.75" hidden="1">
      <c r="A258" s="17"/>
      <c r="B258" s="5" t="s">
        <v>44</v>
      </c>
      <c r="C258" s="18"/>
      <c r="D258" s="17"/>
      <c r="E258" s="13" t="s">
        <v>45</v>
      </c>
      <c r="F258" s="73">
        <f aca="true" t="shared" si="126" ref="F258:S259">F259</f>
        <v>400</v>
      </c>
      <c r="G258" s="73">
        <f t="shared" si="126"/>
        <v>247</v>
      </c>
      <c r="H258" s="73">
        <f t="shared" si="126"/>
        <v>0</v>
      </c>
      <c r="I258" s="73">
        <f t="shared" si="126"/>
        <v>0</v>
      </c>
      <c r="J258" s="73">
        <f t="shared" si="126"/>
        <v>0</v>
      </c>
      <c r="K258" s="73">
        <f t="shared" si="126"/>
        <v>0</v>
      </c>
      <c r="L258" s="73">
        <f t="shared" si="126"/>
        <v>0</v>
      </c>
      <c r="M258" s="73">
        <f t="shared" si="126"/>
        <v>0</v>
      </c>
      <c r="N258" s="73">
        <f t="shared" si="126"/>
        <v>0</v>
      </c>
      <c r="O258" s="73">
        <f t="shared" si="126"/>
        <v>0</v>
      </c>
      <c r="P258" s="73">
        <f t="shared" si="126"/>
        <v>-153</v>
      </c>
      <c r="Q258" s="68"/>
      <c r="R258" s="73">
        <f t="shared" si="126"/>
        <v>0</v>
      </c>
      <c r="S258" s="73">
        <f t="shared" si="126"/>
        <v>0</v>
      </c>
      <c r="T258" s="68"/>
    </row>
    <row r="259" spans="1:20" s="25" customFormat="1" ht="38.25" hidden="1">
      <c r="A259" s="17"/>
      <c r="B259" s="5"/>
      <c r="C259" s="63" t="s">
        <v>200</v>
      </c>
      <c r="D259" s="11"/>
      <c r="E259" s="60" t="s">
        <v>114</v>
      </c>
      <c r="F259" s="73">
        <f t="shared" si="126"/>
        <v>400</v>
      </c>
      <c r="G259" s="73">
        <f t="shared" si="126"/>
        <v>247</v>
      </c>
      <c r="H259" s="73">
        <f t="shared" si="126"/>
        <v>0</v>
      </c>
      <c r="I259" s="73">
        <f t="shared" si="126"/>
        <v>0</v>
      </c>
      <c r="J259" s="73">
        <f t="shared" si="126"/>
        <v>0</v>
      </c>
      <c r="K259" s="73">
        <f t="shared" si="126"/>
        <v>0</v>
      </c>
      <c r="L259" s="73">
        <f t="shared" si="126"/>
        <v>0</v>
      </c>
      <c r="M259" s="73">
        <f t="shared" si="126"/>
        <v>0</v>
      </c>
      <c r="N259" s="73">
        <f t="shared" si="126"/>
        <v>0</v>
      </c>
      <c r="O259" s="73">
        <f t="shared" si="126"/>
        <v>0</v>
      </c>
      <c r="P259" s="73">
        <f t="shared" si="126"/>
        <v>-153</v>
      </c>
      <c r="Q259" s="68"/>
      <c r="R259" s="73">
        <f t="shared" si="126"/>
        <v>0</v>
      </c>
      <c r="S259" s="73">
        <f t="shared" si="126"/>
        <v>0</v>
      </c>
      <c r="T259" s="68"/>
    </row>
    <row r="260" spans="1:20" s="25" customFormat="1" ht="25.5" hidden="1">
      <c r="A260" s="17"/>
      <c r="B260" s="17"/>
      <c r="C260" s="82" t="s">
        <v>214</v>
      </c>
      <c r="D260" s="41"/>
      <c r="E260" s="61" t="s">
        <v>115</v>
      </c>
      <c r="F260" s="68">
        <f>F267+F261+F264</f>
        <v>400</v>
      </c>
      <c r="G260" s="68">
        <f aca="true" t="shared" si="127" ref="G260:P260">G267+G261+G264</f>
        <v>247</v>
      </c>
      <c r="H260" s="68">
        <f t="shared" si="127"/>
        <v>0</v>
      </c>
      <c r="I260" s="68">
        <f t="shared" si="127"/>
        <v>0</v>
      </c>
      <c r="J260" s="68">
        <f t="shared" si="127"/>
        <v>0</v>
      </c>
      <c r="K260" s="68">
        <f t="shared" si="127"/>
        <v>0</v>
      </c>
      <c r="L260" s="68">
        <f t="shared" si="127"/>
        <v>0</v>
      </c>
      <c r="M260" s="68">
        <f t="shared" si="127"/>
        <v>0</v>
      </c>
      <c r="N260" s="68">
        <f t="shared" si="127"/>
        <v>0</v>
      </c>
      <c r="O260" s="68">
        <f t="shared" si="127"/>
        <v>0</v>
      </c>
      <c r="P260" s="68">
        <f t="shared" si="127"/>
        <v>-153</v>
      </c>
      <c r="Q260" s="68">
        <f>Q267+Q261+Q264</f>
        <v>0</v>
      </c>
      <c r="R260" s="68">
        <f>R267+R261+R264</f>
        <v>0</v>
      </c>
      <c r="S260" s="68">
        <f>S267+S261+S264</f>
        <v>0</v>
      </c>
      <c r="T260" s="68">
        <f>T267+T261+T264</f>
        <v>0</v>
      </c>
    </row>
    <row r="261" spans="1:20" s="25" customFormat="1" ht="25.5" hidden="1">
      <c r="A261" s="17"/>
      <c r="B261" s="17"/>
      <c r="C261" s="66" t="s">
        <v>219</v>
      </c>
      <c r="D261" s="41"/>
      <c r="E261" s="57" t="s">
        <v>221</v>
      </c>
      <c r="F261" s="79">
        <f>F262</f>
        <v>80</v>
      </c>
      <c r="G261" s="79">
        <f aca="true" t="shared" si="128" ref="G261:S262">G262</f>
        <v>80</v>
      </c>
      <c r="H261" s="79">
        <f t="shared" si="128"/>
        <v>0</v>
      </c>
      <c r="I261" s="79">
        <f t="shared" si="128"/>
        <v>0</v>
      </c>
      <c r="J261" s="79">
        <f t="shared" si="128"/>
        <v>0</v>
      </c>
      <c r="K261" s="79">
        <f t="shared" si="128"/>
        <v>0</v>
      </c>
      <c r="L261" s="79">
        <f t="shared" si="128"/>
        <v>0</v>
      </c>
      <c r="M261" s="79">
        <f t="shared" si="128"/>
        <v>0</v>
      </c>
      <c r="N261" s="79">
        <f t="shared" si="128"/>
        <v>0</v>
      </c>
      <c r="O261" s="79">
        <f t="shared" si="128"/>
        <v>0</v>
      </c>
      <c r="P261" s="79">
        <f t="shared" si="128"/>
        <v>0</v>
      </c>
      <c r="Q261" s="68">
        <f>Q262</f>
        <v>0</v>
      </c>
      <c r="R261" s="79">
        <f t="shared" si="128"/>
        <v>0</v>
      </c>
      <c r="S261" s="79">
        <f t="shared" si="128"/>
        <v>0</v>
      </c>
      <c r="T261" s="68">
        <f>T262</f>
        <v>0</v>
      </c>
    </row>
    <row r="262" spans="1:20" s="25" customFormat="1" ht="12.75" hidden="1">
      <c r="A262" s="17"/>
      <c r="B262" s="17"/>
      <c r="C262" s="66" t="s">
        <v>220</v>
      </c>
      <c r="D262" s="41"/>
      <c r="E262" s="57" t="s">
        <v>218</v>
      </c>
      <c r="F262" s="79">
        <f>F263</f>
        <v>80</v>
      </c>
      <c r="G262" s="79">
        <f t="shared" si="128"/>
        <v>80</v>
      </c>
      <c r="H262" s="79">
        <f t="shared" si="128"/>
        <v>0</v>
      </c>
      <c r="I262" s="79">
        <f t="shared" si="128"/>
        <v>0</v>
      </c>
      <c r="J262" s="79">
        <f t="shared" si="128"/>
        <v>0</v>
      </c>
      <c r="K262" s="79">
        <f t="shared" si="128"/>
        <v>0</v>
      </c>
      <c r="L262" s="79">
        <f t="shared" si="128"/>
        <v>0</v>
      </c>
      <c r="M262" s="79">
        <f t="shared" si="128"/>
        <v>0</v>
      </c>
      <c r="N262" s="79">
        <f t="shared" si="128"/>
        <v>0</v>
      </c>
      <c r="O262" s="79">
        <f t="shared" si="128"/>
        <v>0</v>
      </c>
      <c r="P262" s="79">
        <f t="shared" si="128"/>
        <v>0</v>
      </c>
      <c r="Q262" s="68">
        <f>Q263</f>
        <v>0</v>
      </c>
      <c r="R262" s="79">
        <f t="shared" si="128"/>
        <v>0</v>
      </c>
      <c r="S262" s="79">
        <f t="shared" si="128"/>
        <v>0</v>
      </c>
      <c r="T262" s="68">
        <f>T263</f>
        <v>0</v>
      </c>
    </row>
    <row r="263" spans="1:20" s="25" customFormat="1" ht="25.5" hidden="1">
      <c r="A263" s="17"/>
      <c r="B263" s="17"/>
      <c r="C263" s="66"/>
      <c r="D263" s="41" t="s">
        <v>3</v>
      </c>
      <c r="E263" s="67" t="s">
        <v>95</v>
      </c>
      <c r="F263" s="79">
        <v>80</v>
      </c>
      <c r="G263" s="93">
        <f>F263+SUM(H263:T263)</f>
        <v>80</v>
      </c>
      <c r="H263" s="68"/>
      <c r="I263" s="68"/>
      <c r="J263" s="69"/>
      <c r="K263" s="69"/>
      <c r="L263" s="68"/>
      <c r="M263" s="70"/>
      <c r="N263" s="68"/>
      <c r="O263" s="51"/>
      <c r="P263" s="68"/>
      <c r="Q263" s="68"/>
      <c r="R263" s="68"/>
      <c r="S263" s="68"/>
      <c r="T263" s="68"/>
    </row>
    <row r="264" spans="1:20" s="25" customFormat="1" ht="30" customHeight="1" hidden="1">
      <c r="A264" s="17"/>
      <c r="B264" s="17"/>
      <c r="C264" s="66" t="s">
        <v>226</v>
      </c>
      <c r="D264" s="41"/>
      <c r="E264" s="67" t="s">
        <v>516</v>
      </c>
      <c r="F264" s="79">
        <f>F265</f>
        <v>30</v>
      </c>
      <c r="G264" s="79">
        <f aca="true" t="shared" si="129" ref="G264:T265">G265</f>
        <v>30</v>
      </c>
      <c r="H264" s="68">
        <f t="shared" si="129"/>
        <v>0</v>
      </c>
      <c r="I264" s="68">
        <f t="shared" si="129"/>
        <v>0</v>
      </c>
      <c r="J264" s="68">
        <f t="shared" si="129"/>
        <v>0</v>
      </c>
      <c r="K264" s="68">
        <f t="shared" si="129"/>
        <v>0</v>
      </c>
      <c r="L264" s="68">
        <f t="shared" si="129"/>
        <v>0</v>
      </c>
      <c r="M264" s="70">
        <f t="shared" si="129"/>
        <v>0</v>
      </c>
      <c r="N264" s="68">
        <f t="shared" si="129"/>
        <v>0</v>
      </c>
      <c r="O264" s="51">
        <f t="shared" si="129"/>
        <v>0</v>
      </c>
      <c r="P264" s="68">
        <f t="shared" si="129"/>
        <v>0</v>
      </c>
      <c r="Q264" s="68">
        <f t="shared" si="129"/>
        <v>0</v>
      </c>
      <c r="R264" s="68">
        <f t="shared" si="129"/>
        <v>0</v>
      </c>
      <c r="S264" s="68">
        <f t="shared" si="129"/>
        <v>0</v>
      </c>
      <c r="T264" s="68">
        <f t="shared" si="129"/>
        <v>0</v>
      </c>
    </row>
    <row r="265" spans="1:20" s="25" customFormat="1" ht="12.75" hidden="1">
      <c r="A265" s="17"/>
      <c r="B265" s="17"/>
      <c r="C265" s="66" t="s">
        <v>222</v>
      </c>
      <c r="D265" s="41"/>
      <c r="E265" s="57" t="s">
        <v>218</v>
      </c>
      <c r="F265" s="79">
        <f>F266</f>
        <v>30</v>
      </c>
      <c r="G265" s="79">
        <f t="shared" si="129"/>
        <v>30</v>
      </c>
      <c r="H265" s="68">
        <f t="shared" si="129"/>
        <v>0</v>
      </c>
      <c r="I265" s="68">
        <f t="shared" si="129"/>
        <v>0</v>
      </c>
      <c r="J265" s="68">
        <f t="shared" si="129"/>
        <v>0</v>
      </c>
      <c r="K265" s="68">
        <f t="shared" si="129"/>
        <v>0</v>
      </c>
      <c r="L265" s="68">
        <f t="shared" si="129"/>
        <v>0</v>
      </c>
      <c r="M265" s="70">
        <f t="shared" si="129"/>
        <v>0</v>
      </c>
      <c r="N265" s="68">
        <f t="shared" si="129"/>
        <v>0</v>
      </c>
      <c r="O265" s="51">
        <f t="shared" si="129"/>
        <v>0</v>
      </c>
      <c r="P265" s="68">
        <f t="shared" si="129"/>
        <v>0</v>
      </c>
      <c r="Q265" s="68">
        <f t="shared" si="129"/>
        <v>0</v>
      </c>
      <c r="R265" s="68">
        <f t="shared" si="129"/>
        <v>0</v>
      </c>
      <c r="S265" s="68">
        <f t="shared" si="129"/>
        <v>0</v>
      </c>
      <c r="T265" s="68">
        <f t="shared" si="129"/>
        <v>0</v>
      </c>
    </row>
    <row r="266" spans="1:20" s="25" customFormat="1" ht="25.5" hidden="1">
      <c r="A266" s="17"/>
      <c r="B266" s="17"/>
      <c r="C266" s="66"/>
      <c r="D266" s="41" t="s">
        <v>3</v>
      </c>
      <c r="E266" s="67" t="s">
        <v>95</v>
      </c>
      <c r="F266" s="79">
        <v>30</v>
      </c>
      <c r="G266" s="93">
        <f>F266+SUM(H266:T266)</f>
        <v>30</v>
      </c>
      <c r="H266" s="68"/>
      <c r="I266" s="68"/>
      <c r="J266" s="68"/>
      <c r="K266" s="68"/>
      <c r="L266" s="68"/>
      <c r="M266" s="70"/>
      <c r="N266" s="68"/>
      <c r="O266" s="51"/>
      <c r="P266" s="68"/>
      <c r="Q266" s="68"/>
      <c r="R266" s="68"/>
      <c r="S266" s="68"/>
      <c r="T266" s="68"/>
    </row>
    <row r="267" spans="1:20" s="25" customFormat="1" ht="25.5" hidden="1">
      <c r="A267" s="17"/>
      <c r="B267" s="17"/>
      <c r="C267" s="66" t="s">
        <v>223</v>
      </c>
      <c r="D267" s="41"/>
      <c r="E267" s="57" t="s">
        <v>225</v>
      </c>
      <c r="F267" s="68">
        <f aca="true" t="shared" si="130" ref="F267:S268">F268</f>
        <v>290</v>
      </c>
      <c r="G267" s="68">
        <f t="shared" si="130"/>
        <v>137</v>
      </c>
      <c r="H267" s="68">
        <f t="shared" si="130"/>
        <v>0</v>
      </c>
      <c r="I267" s="68">
        <f t="shared" si="130"/>
        <v>0</v>
      </c>
      <c r="J267" s="68">
        <f t="shared" si="130"/>
        <v>0</v>
      </c>
      <c r="K267" s="68">
        <f t="shared" si="130"/>
        <v>0</v>
      </c>
      <c r="L267" s="68">
        <f t="shared" si="130"/>
        <v>0</v>
      </c>
      <c r="M267" s="68">
        <f t="shared" si="130"/>
        <v>0</v>
      </c>
      <c r="N267" s="68">
        <f t="shared" si="130"/>
        <v>0</v>
      </c>
      <c r="O267" s="68">
        <f t="shared" si="130"/>
        <v>0</v>
      </c>
      <c r="P267" s="68">
        <f t="shared" si="130"/>
        <v>-153</v>
      </c>
      <c r="Q267" s="68"/>
      <c r="R267" s="68">
        <f t="shared" si="130"/>
        <v>0</v>
      </c>
      <c r="S267" s="68">
        <f t="shared" si="130"/>
        <v>0</v>
      </c>
      <c r="T267" s="68"/>
    </row>
    <row r="268" spans="1:20" s="25" customFormat="1" ht="12.75" hidden="1">
      <c r="A268" s="17"/>
      <c r="B268" s="17"/>
      <c r="C268" s="66" t="s">
        <v>224</v>
      </c>
      <c r="D268" s="41"/>
      <c r="E268" s="57" t="s">
        <v>218</v>
      </c>
      <c r="F268" s="68">
        <f t="shared" si="130"/>
        <v>290</v>
      </c>
      <c r="G268" s="68">
        <f t="shared" si="130"/>
        <v>137</v>
      </c>
      <c r="H268" s="68">
        <f t="shared" si="130"/>
        <v>0</v>
      </c>
      <c r="I268" s="68">
        <f t="shared" si="130"/>
        <v>0</v>
      </c>
      <c r="J268" s="68">
        <f t="shared" si="130"/>
        <v>0</v>
      </c>
      <c r="K268" s="68">
        <f t="shared" si="130"/>
        <v>0</v>
      </c>
      <c r="L268" s="68">
        <f t="shared" si="130"/>
        <v>0</v>
      </c>
      <c r="M268" s="68">
        <f t="shared" si="130"/>
        <v>0</v>
      </c>
      <c r="N268" s="68">
        <f t="shared" si="130"/>
        <v>0</v>
      </c>
      <c r="O268" s="68">
        <f t="shared" si="130"/>
        <v>0</v>
      </c>
      <c r="P268" s="68">
        <f t="shared" si="130"/>
        <v>-153</v>
      </c>
      <c r="Q268" s="68"/>
      <c r="R268" s="68">
        <f t="shared" si="130"/>
        <v>0</v>
      </c>
      <c r="S268" s="68">
        <f t="shared" si="130"/>
        <v>0</v>
      </c>
      <c r="T268" s="68"/>
    </row>
    <row r="269" spans="1:20" s="25" customFormat="1" ht="25.5" hidden="1">
      <c r="A269" s="17"/>
      <c r="B269" s="17"/>
      <c r="C269" s="66"/>
      <c r="D269" s="41" t="s">
        <v>3</v>
      </c>
      <c r="E269" s="67" t="s">
        <v>95</v>
      </c>
      <c r="F269" s="79">
        <v>290</v>
      </c>
      <c r="G269" s="93">
        <f>F269+SUM(H269:T269)</f>
        <v>137</v>
      </c>
      <c r="H269" s="74"/>
      <c r="I269" s="68"/>
      <c r="J269" s="69"/>
      <c r="K269" s="69"/>
      <c r="L269" s="68"/>
      <c r="M269" s="70"/>
      <c r="N269" s="68"/>
      <c r="O269" s="51"/>
      <c r="P269" s="68">
        <v>-153</v>
      </c>
      <c r="Q269" s="68"/>
      <c r="R269" s="68"/>
      <c r="S269" s="68"/>
      <c r="T269" s="68"/>
    </row>
    <row r="270" spans="1:20" s="25" customFormat="1" ht="25.5" hidden="1">
      <c r="A270" s="17"/>
      <c r="B270" s="5" t="s">
        <v>543</v>
      </c>
      <c r="C270" s="66"/>
      <c r="D270" s="41"/>
      <c r="E270" s="113" t="s">
        <v>544</v>
      </c>
      <c r="F270" s="95">
        <f>F271</f>
        <v>0</v>
      </c>
      <c r="G270" s="95">
        <f aca="true" t="shared" si="131" ref="G270:T274">G271</f>
        <v>503.8</v>
      </c>
      <c r="H270" s="95">
        <f t="shared" si="131"/>
        <v>0</v>
      </c>
      <c r="I270" s="95">
        <f t="shared" si="131"/>
        <v>0</v>
      </c>
      <c r="J270" s="95">
        <f t="shared" si="131"/>
        <v>0</v>
      </c>
      <c r="K270" s="95">
        <f t="shared" si="131"/>
        <v>0</v>
      </c>
      <c r="L270" s="95">
        <f t="shared" si="131"/>
        <v>0</v>
      </c>
      <c r="M270" s="131">
        <f t="shared" si="131"/>
        <v>100</v>
      </c>
      <c r="N270" s="79">
        <f t="shared" si="131"/>
        <v>0</v>
      </c>
      <c r="O270" s="115">
        <f t="shared" si="131"/>
        <v>0</v>
      </c>
      <c r="P270" s="79">
        <f t="shared" si="131"/>
        <v>403.8</v>
      </c>
      <c r="Q270" s="79">
        <f t="shared" si="131"/>
        <v>0</v>
      </c>
      <c r="R270" s="79">
        <f t="shared" si="131"/>
        <v>0</v>
      </c>
      <c r="S270" s="79">
        <f t="shared" si="131"/>
        <v>0</v>
      </c>
      <c r="T270" s="79">
        <f t="shared" si="131"/>
        <v>0</v>
      </c>
    </row>
    <row r="271" spans="1:20" s="25" customFormat="1" ht="38.25" hidden="1">
      <c r="A271" s="17"/>
      <c r="B271" s="5"/>
      <c r="C271" s="63" t="s">
        <v>200</v>
      </c>
      <c r="D271" s="11"/>
      <c r="E271" s="60" t="s">
        <v>114</v>
      </c>
      <c r="F271" s="95">
        <f>F272</f>
        <v>0</v>
      </c>
      <c r="G271" s="95">
        <f t="shared" si="131"/>
        <v>503.8</v>
      </c>
      <c r="H271" s="95">
        <f t="shared" si="131"/>
        <v>0</v>
      </c>
      <c r="I271" s="95">
        <f t="shared" si="131"/>
        <v>0</v>
      </c>
      <c r="J271" s="95">
        <f t="shared" si="131"/>
        <v>0</v>
      </c>
      <c r="K271" s="95">
        <f t="shared" si="131"/>
        <v>0</v>
      </c>
      <c r="L271" s="95">
        <f t="shared" si="131"/>
        <v>0</v>
      </c>
      <c r="M271" s="131">
        <f t="shared" si="131"/>
        <v>100</v>
      </c>
      <c r="N271" s="79">
        <f t="shared" si="131"/>
        <v>0</v>
      </c>
      <c r="O271" s="115">
        <f t="shared" si="131"/>
        <v>0</v>
      </c>
      <c r="P271" s="79">
        <f t="shared" si="131"/>
        <v>403.8</v>
      </c>
      <c r="Q271" s="79">
        <f t="shared" si="131"/>
        <v>0</v>
      </c>
      <c r="R271" s="79">
        <f t="shared" si="131"/>
        <v>0</v>
      </c>
      <c r="S271" s="79">
        <f t="shared" si="131"/>
        <v>0</v>
      </c>
      <c r="T271" s="79">
        <f t="shared" si="131"/>
        <v>0</v>
      </c>
    </row>
    <row r="272" spans="1:20" s="25" customFormat="1" ht="25.5" hidden="1">
      <c r="A272" s="17"/>
      <c r="B272" s="5"/>
      <c r="C272" s="162" t="s">
        <v>495</v>
      </c>
      <c r="D272" s="136"/>
      <c r="E272" s="137" t="s">
        <v>494</v>
      </c>
      <c r="F272" s="79">
        <f>F273</f>
        <v>0</v>
      </c>
      <c r="G272" s="79">
        <f t="shared" si="131"/>
        <v>503.8</v>
      </c>
      <c r="H272" s="79">
        <f t="shared" si="131"/>
        <v>0</v>
      </c>
      <c r="I272" s="79">
        <f t="shared" si="131"/>
        <v>0</v>
      </c>
      <c r="J272" s="79">
        <f t="shared" si="131"/>
        <v>0</v>
      </c>
      <c r="K272" s="79">
        <f t="shared" si="131"/>
        <v>0</v>
      </c>
      <c r="L272" s="79">
        <f t="shared" si="131"/>
        <v>0</v>
      </c>
      <c r="M272" s="96">
        <f t="shared" si="131"/>
        <v>100</v>
      </c>
      <c r="N272" s="79">
        <f t="shared" si="131"/>
        <v>0</v>
      </c>
      <c r="O272" s="115">
        <f t="shared" si="131"/>
        <v>0</v>
      </c>
      <c r="P272" s="79">
        <f t="shared" si="131"/>
        <v>403.8</v>
      </c>
      <c r="Q272" s="79">
        <f t="shared" si="131"/>
        <v>0</v>
      </c>
      <c r="R272" s="79">
        <f t="shared" si="131"/>
        <v>0</v>
      </c>
      <c r="S272" s="79">
        <f t="shared" si="131"/>
        <v>0</v>
      </c>
      <c r="T272" s="79">
        <f t="shared" si="131"/>
        <v>0</v>
      </c>
    </row>
    <row r="273" spans="1:20" s="25" customFormat="1" ht="38.25" hidden="1">
      <c r="A273" s="17"/>
      <c r="B273" s="5"/>
      <c r="C273" s="147" t="s">
        <v>496</v>
      </c>
      <c r="D273" s="107"/>
      <c r="E273" s="138" t="s">
        <v>517</v>
      </c>
      <c r="F273" s="79">
        <f>F274</f>
        <v>0</v>
      </c>
      <c r="G273" s="79">
        <f aca="true" t="shared" si="132" ref="G273:O273">G274+G276</f>
        <v>503.8</v>
      </c>
      <c r="H273" s="79">
        <f t="shared" si="132"/>
        <v>0</v>
      </c>
      <c r="I273" s="79">
        <f t="shared" si="132"/>
        <v>0</v>
      </c>
      <c r="J273" s="79">
        <f t="shared" si="132"/>
        <v>0</v>
      </c>
      <c r="K273" s="79">
        <f t="shared" si="132"/>
        <v>0</v>
      </c>
      <c r="L273" s="79">
        <f t="shared" si="132"/>
        <v>0</v>
      </c>
      <c r="M273" s="79">
        <f t="shared" si="132"/>
        <v>100</v>
      </c>
      <c r="N273" s="79">
        <f t="shared" si="132"/>
        <v>0</v>
      </c>
      <c r="O273" s="79">
        <f t="shared" si="132"/>
        <v>0</v>
      </c>
      <c r="P273" s="79">
        <f>P274+P276</f>
        <v>403.8</v>
      </c>
      <c r="Q273" s="79">
        <f>Q274+Q276</f>
        <v>0</v>
      </c>
      <c r="R273" s="79">
        <f>R274+R276</f>
        <v>0</v>
      </c>
      <c r="S273" s="79">
        <f>S274+S276</f>
        <v>0</v>
      </c>
      <c r="T273" s="79">
        <f>T274+T276</f>
        <v>0</v>
      </c>
    </row>
    <row r="274" spans="1:20" s="25" customFormat="1" ht="25.5" hidden="1">
      <c r="A274" s="17"/>
      <c r="B274" s="17"/>
      <c r="C274" s="66" t="s">
        <v>504</v>
      </c>
      <c r="D274" s="41"/>
      <c r="E274" s="67" t="s">
        <v>213</v>
      </c>
      <c r="F274" s="79">
        <f>F275</f>
        <v>0</v>
      </c>
      <c r="G274" s="79">
        <f t="shared" si="131"/>
        <v>0</v>
      </c>
      <c r="H274" s="79">
        <f t="shared" si="131"/>
        <v>0</v>
      </c>
      <c r="I274" s="79">
        <f t="shared" si="131"/>
        <v>0</v>
      </c>
      <c r="J274" s="79">
        <f t="shared" si="131"/>
        <v>0</v>
      </c>
      <c r="K274" s="79">
        <f t="shared" si="131"/>
        <v>0</v>
      </c>
      <c r="L274" s="79">
        <f t="shared" si="131"/>
        <v>0</v>
      </c>
      <c r="M274" s="96">
        <f t="shared" si="131"/>
        <v>100</v>
      </c>
      <c r="N274" s="79">
        <f t="shared" si="131"/>
        <v>0</v>
      </c>
      <c r="O274" s="115">
        <f t="shared" si="131"/>
        <v>0</v>
      </c>
      <c r="P274" s="79">
        <f t="shared" si="131"/>
        <v>-100</v>
      </c>
      <c r="Q274" s="79">
        <f t="shared" si="131"/>
        <v>0</v>
      </c>
      <c r="R274" s="79">
        <f t="shared" si="131"/>
        <v>0</v>
      </c>
      <c r="S274" s="79">
        <f t="shared" si="131"/>
        <v>0</v>
      </c>
      <c r="T274" s="79">
        <f t="shared" si="131"/>
        <v>0</v>
      </c>
    </row>
    <row r="275" spans="1:20" s="25" customFormat="1" ht="25.5" hidden="1">
      <c r="A275" s="17"/>
      <c r="B275" s="17"/>
      <c r="C275" s="66"/>
      <c r="D275" s="41" t="s">
        <v>3</v>
      </c>
      <c r="E275" s="67" t="s">
        <v>95</v>
      </c>
      <c r="F275" s="79"/>
      <c r="G275" s="93">
        <f>F275+SUM(H275:T275)</f>
        <v>0</v>
      </c>
      <c r="H275" s="74"/>
      <c r="I275" s="68"/>
      <c r="J275" s="69"/>
      <c r="K275" s="69"/>
      <c r="L275" s="68"/>
      <c r="M275" s="70">
        <f>100</f>
        <v>100</v>
      </c>
      <c r="N275" s="68"/>
      <c r="O275" s="51"/>
      <c r="P275" s="68">
        <f>-100</f>
        <v>-100</v>
      </c>
      <c r="Q275" s="68"/>
      <c r="R275" s="68"/>
      <c r="S275" s="68"/>
      <c r="T275" s="68"/>
    </row>
    <row r="276" spans="1:20" s="25" customFormat="1" ht="25.5" hidden="1">
      <c r="A276" s="17"/>
      <c r="B276" s="17"/>
      <c r="C276" s="66" t="s">
        <v>504</v>
      </c>
      <c r="D276" s="41"/>
      <c r="E276" s="67" t="s">
        <v>556</v>
      </c>
      <c r="F276" s="79"/>
      <c r="G276" s="93">
        <f>G277</f>
        <v>503.8</v>
      </c>
      <c r="H276" s="93">
        <f aca="true" t="shared" si="133" ref="H276:S276">H277</f>
        <v>0</v>
      </c>
      <c r="I276" s="93">
        <f t="shared" si="133"/>
        <v>0</v>
      </c>
      <c r="J276" s="93">
        <f t="shared" si="133"/>
        <v>0</v>
      </c>
      <c r="K276" s="93">
        <f t="shared" si="133"/>
        <v>0</v>
      </c>
      <c r="L276" s="93">
        <f t="shared" si="133"/>
        <v>0</v>
      </c>
      <c r="M276" s="93">
        <f t="shared" si="133"/>
        <v>0</v>
      </c>
      <c r="N276" s="93">
        <f t="shared" si="133"/>
        <v>0</v>
      </c>
      <c r="O276" s="93">
        <f t="shared" si="133"/>
        <v>0</v>
      </c>
      <c r="P276" s="93">
        <f t="shared" si="133"/>
        <v>503.8</v>
      </c>
      <c r="Q276" s="93">
        <f>Q277</f>
        <v>0</v>
      </c>
      <c r="R276" s="93">
        <f t="shared" si="133"/>
        <v>0</v>
      </c>
      <c r="S276" s="93">
        <f t="shared" si="133"/>
        <v>0</v>
      </c>
      <c r="T276" s="93">
        <f>T277</f>
        <v>0</v>
      </c>
    </row>
    <row r="277" spans="1:20" s="25" customFormat="1" ht="25.5" hidden="1">
      <c r="A277" s="17"/>
      <c r="B277" s="17"/>
      <c r="C277" s="66"/>
      <c r="D277" s="41" t="s">
        <v>3</v>
      </c>
      <c r="E277" s="67" t="s">
        <v>95</v>
      </c>
      <c r="F277" s="79"/>
      <c r="G277" s="93">
        <f>F277+SUM(H277:T277)</f>
        <v>503.8</v>
      </c>
      <c r="H277" s="74"/>
      <c r="I277" s="68"/>
      <c r="J277" s="69"/>
      <c r="K277" s="69"/>
      <c r="L277" s="68"/>
      <c r="M277" s="70"/>
      <c r="N277" s="68"/>
      <c r="O277" s="51"/>
      <c r="P277" s="68">
        <v>503.8</v>
      </c>
      <c r="Q277" s="68"/>
      <c r="R277" s="68"/>
      <c r="S277" s="68"/>
      <c r="T277" s="68"/>
    </row>
    <row r="278" spans="1:20" s="25" customFormat="1" ht="12">
      <c r="A278" s="17"/>
      <c r="B278" s="5" t="s">
        <v>46</v>
      </c>
      <c r="C278" s="5"/>
      <c r="D278" s="5"/>
      <c r="E278" s="13" t="s">
        <v>47</v>
      </c>
      <c r="F278" s="119">
        <f>F326+F279+F290+F306</f>
        <v>42642.2</v>
      </c>
      <c r="G278" s="119">
        <f aca="true" t="shared" si="134" ref="G278:L278">G326+G279+G290+G306</f>
        <v>51830.19371</v>
      </c>
      <c r="H278" s="119">
        <f t="shared" si="134"/>
        <v>0</v>
      </c>
      <c r="I278" s="119">
        <f t="shared" si="134"/>
        <v>10486</v>
      </c>
      <c r="J278" s="119">
        <f t="shared" si="134"/>
        <v>-1553.1756599999999</v>
      </c>
      <c r="K278" s="119">
        <f t="shared" si="134"/>
        <v>698.33333</v>
      </c>
      <c r="L278" s="119">
        <f t="shared" si="134"/>
        <v>-64.9</v>
      </c>
      <c r="M278" s="121">
        <f aca="true" t="shared" si="135" ref="M278:T278">M326+M279+M290+M306</f>
        <v>2275.83604</v>
      </c>
      <c r="N278" s="119">
        <f t="shared" si="135"/>
        <v>0</v>
      </c>
      <c r="O278" s="185">
        <f t="shared" si="135"/>
        <v>-711.4</v>
      </c>
      <c r="P278" s="119">
        <f t="shared" si="135"/>
        <v>-1490.1</v>
      </c>
      <c r="Q278" s="119">
        <f t="shared" si="135"/>
        <v>0</v>
      </c>
      <c r="R278" s="119">
        <f>R326+R279+R290+R306</f>
        <v>0</v>
      </c>
      <c r="S278" s="119">
        <f>S326+S279+S290+S306</f>
        <v>-452.6</v>
      </c>
      <c r="T278" s="119">
        <f t="shared" si="135"/>
        <v>0</v>
      </c>
    </row>
    <row r="279" spans="1:20" s="25" customFormat="1" ht="12.75" hidden="1">
      <c r="A279" s="5"/>
      <c r="B279" s="5" t="s">
        <v>151</v>
      </c>
      <c r="C279" s="5"/>
      <c r="D279" s="5"/>
      <c r="E279" s="13" t="s">
        <v>152</v>
      </c>
      <c r="F279" s="119">
        <f>F280</f>
        <v>0</v>
      </c>
      <c r="G279" s="119">
        <f aca="true" t="shared" si="136" ref="G279:M281">G280</f>
        <v>0</v>
      </c>
      <c r="H279" s="119">
        <f t="shared" si="136"/>
        <v>0</v>
      </c>
      <c r="I279" s="119">
        <f t="shared" si="136"/>
        <v>0</v>
      </c>
      <c r="J279" s="119">
        <f t="shared" si="136"/>
        <v>0</v>
      </c>
      <c r="K279" s="119">
        <f t="shared" si="136"/>
        <v>0</v>
      </c>
      <c r="L279" s="119">
        <f t="shared" si="136"/>
        <v>0</v>
      </c>
      <c r="M279" s="121">
        <f t="shared" si="136"/>
        <v>0</v>
      </c>
      <c r="N279" s="73">
        <f aca="true" t="shared" si="137" ref="N279:T283">N280</f>
        <v>0</v>
      </c>
      <c r="O279" s="50">
        <f t="shared" si="137"/>
        <v>0</v>
      </c>
      <c r="P279" s="73">
        <f t="shared" si="137"/>
        <v>0</v>
      </c>
      <c r="Q279" s="73">
        <f t="shared" si="137"/>
        <v>0</v>
      </c>
      <c r="R279" s="73">
        <f t="shared" si="137"/>
        <v>0</v>
      </c>
      <c r="S279" s="73">
        <f t="shared" si="137"/>
        <v>0</v>
      </c>
      <c r="T279" s="73">
        <f t="shared" si="137"/>
        <v>0</v>
      </c>
    </row>
    <row r="280" spans="1:20" s="25" customFormat="1" ht="38.25" hidden="1">
      <c r="A280" s="17"/>
      <c r="B280" s="17"/>
      <c r="C280" s="63" t="s">
        <v>200</v>
      </c>
      <c r="D280" s="11"/>
      <c r="E280" s="60" t="s">
        <v>114</v>
      </c>
      <c r="F280" s="95">
        <f>F281</f>
        <v>0</v>
      </c>
      <c r="G280" s="95">
        <f t="shared" si="136"/>
        <v>0</v>
      </c>
      <c r="H280" s="95">
        <f t="shared" si="136"/>
        <v>0</v>
      </c>
      <c r="I280" s="95">
        <f t="shared" si="136"/>
        <v>0</v>
      </c>
      <c r="J280" s="95">
        <f t="shared" si="136"/>
        <v>0</v>
      </c>
      <c r="K280" s="95">
        <f t="shared" si="136"/>
        <v>0</v>
      </c>
      <c r="L280" s="95">
        <f t="shared" si="136"/>
        <v>0</v>
      </c>
      <c r="M280" s="131">
        <f t="shared" si="136"/>
        <v>0</v>
      </c>
      <c r="N280" s="73">
        <f t="shared" si="137"/>
        <v>0</v>
      </c>
      <c r="O280" s="50">
        <f t="shared" si="137"/>
        <v>0</v>
      </c>
      <c r="P280" s="73">
        <f t="shared" si="137"/>
        <v>0</v>
      </c>
      <c r="Q280" s="73">
        <f t="shared" si="137"/>
        <v>0</v>
      </c>
      <c r="R280" s="73">
        <f t="shared" si="137"/>
        <v>0</v>
      </c>
      <c r="S280" s="73">
        <f t="shared" si="137"/>
        <v>0</v>
      </c>
      <c r="T280" s="73">
        <f t="shared" si="137"/>
        <v>0</v>
      </c>
    </row>
    <row r="281" spans="1:20" s="25" customFormat="1" ht="49.5" customHeight="1" hidden="1">
      <c r="A281" s="17"/>
      <c r="B281" s="17"/>
      <c r="C281" s="82" t="s">
        <v>236</v>
      </c>
      <c r="D281" s="41"/>
      <c r="E281" s="61" t="s">
        <v>117</v>
      </c>
      <c r="F281" s="79">
        <f>F282</f>
        <v>0</v>
      </c>
      <c r="G281" s="79">
        <f t="shared" si="136"/>
        <v>0</v>
      </c>
      <c r="H281" s="79">
        <f t="shared" si="136"/>
        <v>0</v>
      </c>
      <c r="I281" s="79">
        <f t="shared" si="136"/>
        <v>0</v>
      </c>
      <c r="J281" s="79">
        <f t="shared" si="136"/>
        <v>0</v>
      </c>
      <c r="K281" s="79">
        <f t="shared" si="136"/>
        <v>0</v>
      </c>
      <c r="L281" s="79">
        <f t="shared" si="136"/>
        <v>0</v>
      </c>
      <c r="M281" s="96">
        <f t="shared" si="136"/>
        <v>0</v>
      </c>
      <c r="N281" s="68">
        <f t="shared" si="137"/>
        <v>0</v>
      </c>
      <c r="O281" s="51">
        <f t="shared" si="137"/>
        <v>0</v>
      </c>
      <c r="P281" s="68">
        <f t="shared" si="137"/>
        <v>0</v>
      </c>
      <c r="Q281" s="68">
        <f t="shared" si="137"/>
        <v>0</v>
      </c>
      <c r="R281" s="68">
        <f t="shared" si="137"/>
        <v>0</v>
      </c>
      <c r="S281" s="68">
        <f t="shared" si="137"/>
        <v>0</v>
      </c>
      <c r="T281" s="68">
        <f t="shared" si="137"/>
        <v>0</v>
      </c>
    </row>
    <row r="282" spans="1:20" s="25" customFormat="1" ht="49.5" customHeight="1" hidden="1">
      <c r="A282" s="17"/>
      <c r="B282" s="17"/>
      <c r="C282" s="66" t="s">
        <v>237</v>
      </c>
      <c r="D282" s="41"/>
      <c r="E282" s="57" t="s">
        <v>239</v>
      </c>
      <c r="F282" s="79">
        <f>F283+F287+F285</f>
        <v>0</v>
      </c>
      <c r="G282" s="79">
        <f aca="true" t="shared" si="138" ref="G282:M282">G283+G287+G285</f>
        <v>0</v>
      </c>
      <c r="H282" s="79">
        <f t="shared" si="138"/>
        <v>0</v>
      </c>
      <c r="I282" s="79">
        <f t="shared" si="138"/>
        <v>0</v>
      </c>
      <c r="J282" s="79">
        <f t="shared" si="138"/>
        <v>0</v>
      </c>
      <c r="K282" s="79">
        <f t="shared" si="138"/>
        <v>0</v>
      </c>
      <c r="L282" s="79">
        <f t="shared" si="138"/>
        <v>0</v>
      </c>
      <c r="M282" s="96">
        <f t="shared" si="138"/>
        <v>0</v>
      </c>
      <c r="N282" s="79">
        <f>N283+N287+N285</f>
        <v>0</v>
      </c>
      <c r="O282" s="115">
        <f>O283+O287</f>
        <v>0</v>
      </c>
      <c r="P282" s="79">
        <f>P283+P287</f>
        <v>0</v>
      </c>
      <c r="Q282" s="79">
        <f>Q283+Q287</f>
        <v>0</v>
      </c>
      <c r="R282" s="79">
        <f>R283+R287+R285</f>
        <v>0</v>
      </c>
      <c r="S282" s="79">
        <f>S283+S287+S285</f>
        <v>0</v>
      </c>
      <c r="T282" s="79">
        <f>T283+T287</f>
        <v>0</v>
      </c>
    </row>
    <row r="283" spans="1:20" s="25" customFormat="1" ht="38.25" hidden="1">
      <c r="A283" s="17"/>
      <c r="B283" s="17"/>
      <c r="C283" s="66" t="s">
        <v>238</v>
      </c>
      <c r="D283" s="41"/>
      <c r="E283" s="57" t="s">
        <v>240</v>
      </c>
      <c r="F283" s="79">
        <f>F284</f>
        <v>0</v>
      </c>
      <c r="G283" s="79">
        <f aca="true" t="shared" si="139" ref="G283:M283">G284</f>
        <v>0</v>
      </c>
      <c r="H283" s="79">
        <f t="shared" si="139"/>
        <v>0</v>
      </c>
      <c r="I283" s="79">
        <f t="shared" si="139"/>
        <v>0</v>
      </c>
      <c r="J283" s="79">
        <f t="shared" si="139"/>
        <v>0</v>
      </c>
      <c r="K283" s="79">
        <f t="shared" si="139"/>
        <v>0</v>
      </c>
      <c r="L283" s="79">
        <f t="shared" si="139"/>
        <v>0</v>
      </c>
      <c r="M283" s="96">
        <f t="shared" si="139"/>
        <v>0</v>
      </c>
      <c r="N283" s="68">
        <f t="shared" si="137"/>
        <v>0</v>
      </c>
      <c r="O283" s="51">
        <f t="shared" si="137"/>
        <v>0</v>
      </c>
      <c r="P283" s="68">
        <f t="shared" si="137"/>
        <v>0</v>
      </c>
      <c r="Q283" s="68">
        <f t="shared" si="137"/>
        <v>0</v>
      </c>
      <c r="R283" s="68">
        <f t="shared" si="137"/>
        <v>0</v>
      </c>
      <c r="S283" s="68">
        <f t="shared" si="137"/>
        <v>0</v>
      </c>
      <c r="T283" s="68">
        <f t="shared" si="137"/>
        <v>0</v>
      </c>
    </row>
    <row r="284" spans="1:20" s="25" customFormat="1" ht="25.5" hidden="1">
      <c r="A284" s="17"/>
      <c r="B284" s="17"/>
      <c r="C284" s="66"/>
      <c r="D284" s="41" t="s">
        <v>3</v>
      </c>
      <c r="E284" s="67" t="s">
        <v>95</v>
      </c>
      <c r="F284" s="79"/>
      <c r="G284" s="79"/>
      <c r="H284" s="79"/>
      <c r="I284" s="79"/>
      <c r="J284" s="79"/>
      <c r="K284" s="79"/>
      <c r="L284" s="79"/>
      <c r="M284" s="96"/>
      <c r="N284" s="68"/>
      <c r="O284" s="51"/>
      <c r="P284" s="68"/>
      <c r="Q284" s="68"/>
      <c r="R284" s="68"/>
      <c r="S284" s="68"/>
      <c r="T284" s="68"/>
    </row>
    <row r="285" spans="1:20" s="25" customFormat="1" ht="25.5" hidden="1">
      <c r="A285" s="17"/>
      <c r="B285" s="17"/>
      <c r="C285" s="66" t="s">
        <v>238</v>
      </c>
      <c r="D285" s="41"/>
      <c r="E285" s="67" t="s">
        <v>453</v>
      </c>
      <c r="F285" s="79">
        <f>F286</f>
        <v>0</v>
      </c>
      <c r="G285" s="79">
        <f aca="true" t="shared" si="140" ref="G285:M285">G286</f>
        <v>0</v>
      </c>
      <c r="H285" s="79">
        <f t="shared" si="140"/>
        <v>0</v>
      </c>
      <c r="I285" s="79">
        <f t="shared" si="140"/>
        <v>0</v>
      </c>
      <c r="J285" s="79">
        <f t="shared" si="140"/>
        <v>0</v>
      </c>
      <c r="K285" s="79">
        <f t="shared" si="140"/>
        <v>0</v>
      </c>
      <c r="L285" s="79">
        <f t="shared" si="140"/>
        <v>0</v>
      </c>
      <c r="M285" s="96">
        <f t="shared" si="140"/>
        <v>0</v>
      </c>
      <c r="N285" s="79">
        <f>N286</f>
        <v>0</v>
      </c>
      <c r="O285" s="51"/>
      <c r="P285" s="68"/>
      <c r="Q285" s="68"/>
      <c r="R285" s="79">
        <f>R286</f>
        <v>0</v>
      </c>
      <c r="S285" s="79">
        <f>S286</f>
        <v>0</v>
      </c>
      <c r="T285" s="68"/>
    </row>
    <row r="286" spans="1:20" s="25" customFormat="1" ht="12.75" hidden="1">
      <c r="A286" s="17"/>
      <c r="B286" s="17"/>
      <c r="C286" s="66"/>
      <c r="D286" s="41" t="s">
        <v>9</v>
      </c>
      <c r="E286" s="67" t="s">
        <v>37</v>
      </c>
      <c r="F286" s="79"/>
      <c r="G286" s="79"/>
      <c r="H286" s="79"/>
      <c r="I286" s="79"/>
      <c r="J286" s="79"/>
      <c r="K286" s="79"/>
      <c r="L286" s="79"/>
      <c r="M286" s="96"/>
      <c r="N286" s="68"/>
      <c r="O286" s="51"/>
      <c r="P286" s="68"/>
      <c r="Q286" s="68"/>
      <c r="R286" s="68"/>
      <c r="S286" s="68"/>
      <c r="T286" s="68"/>
    </row>
    <row r="287" spans="1:20" s="25" customFormat="1" ht="25.5" hidden="1">
      <c r="A287" s="17"/>
      <c r="B287" s="17"/>
      <c r="C287" s="66" t="s">
        <v>452</v>
      </c>
      <c r="D287" s="41"/>
      <c r="E287" s="67" t="s">
        <v>453</v>
      </c>
      <c r="F287" s="79">
        <f>F288+F289</f>
        <v>0</v>
      </c>
      <c r="G287" s="79">
        <f aca="true" t="shared" si="141" ref="G287:M287">G288+G289</f>
        <v>0</v>
      </c>
      <c r="H287" s="79">
        <f t="shared" si="141"/>
        <v>0</v>
      </c>
      <c r="I287" s="79">
        <f t="shared" si="141"/>
        <v>0</v>
      </c>
      <c r="J287" s="79">
        <f t="shared" si="141"/>
        <v>0</v>
      </c>
      <c r="K287" s="79">
        <f t="shared" si="141"/>
        <v>0</v>
      </c>
      <c r="L287" s="79">
        <f t="shared" si="141"/>
        <v>0</v>
      </c>
      <c r="M287" s="96">
        <f t="shared" si="141"/>
        <v>0</v>
      </c>
      <c r="N287" s="79">
        <f aca="true" t="shared" si="142" ref="N287:T287">N288+N289</f>
        <v>0</v>
      </c>
      <c r="O287" s="115">
        <f t="shared" si="142"/>
        <v>0</v>
      </c>
      <c r="P287" s="79">
        <f t="shared" si="142"/>
        <v>0</v>
      </c>
      <c r="Q287" s="79">
        <f t="shared" si="142"/>
        <v>0</v>
      </c>
      <c r="R287" s="79">
        <f t="shared" si="142"/>
        <v>0</v>
      </c>
      <c r="S287" s="79">
        <f t="shared" si="142"/>
        <v>0</v>
      </c>
      <c r="T287" s="79">
        <f t="shared" si="142"/>
        <v>0</v>
      </c>
    </row>
    <row r="288" spans="1:20" s="25" customFormat="1" ht="25.5" hidden="1">
      <c r="A288" s="17"/>
      <c r="B288" s="17"/>
      <c r="C288" s="66"/>
      <c r="D288" s="41" t="s">
        <v>3</v>
      </c>
      <c r="E288" s="67" t="s">
        <v>95</v>
      </c>
      <c r="F288" s="79"/>
      <c r="G288" s="79"/>
      <c r="H288" s="79"/>
      <c r="I288" s="79"/>
      <c r="J288" s="79"/>
      <c r="K288" s="79"/>
      <c r="L288" s="79"/>
      <c r="M288" s="96"/>
      <c r="N288" s="68"/>
      <c r="O288" s="51"/>
      <c r="P288" s="68"/>
      <c r="Q288" s="68"/>
      <c r="R288" s="68"/>
      <c r="S288" s="68"/>
      <c r="T288" s="68"/>
    </row>
    <row r="289" spans="1:20" s="25" customFormat="1" ht="12.75" hidden="1">
      <c r="A289" s="17"/>
      <c r="B289" s="17"/>
      <c r="C289" s="66"/>
      <c r="D289" s="41" t="s">
        <v>9</v>
      </c>
      <c r="E289" s="67" t="s">
        <v>37</v>
      </c>
      <c r="F289" s="79"/>
      <c r="G289" s="79"/>
      <c r="H289" s="79"/>
      <c r="I289" s="79"/>
      <c r="J289" s="79"/>
      <c r="K289" s="79"/>
      <c r="L289" s="79"/>
      <c r="M289" s="96"/>
      <c r="N289" s="68"/>
      <c r="O289" s="51"/>
      <c r="P289" s="68"/>
      <c r="Q289" s="68"/>
      <c r="R289" s="68"/>
      <c r="S289" s="68"/>
      <c r="T289" s="68"/>
    </row>
    <row r="290" spans="1:20" s="25" customFormat="1" ht="12" hidden="1">
      <c r="A290" s="17"/>
      <c r="B290" s="5" t="s">
        <v>90</v>
      </c>
      <c r="C290" s="16"/>
      <c r="D290" s="5"/>
      <c r="E290" s="13" t="s">
        <v>91</v>
      </c>
      <c r="F290" s="119">
        <f>F291+F301</f>
        <v>646.7</v>
      </c>
      <c r="G290" s="119">
        <f aca="true" t="shared" si="143" ref="G290:M290">G291+G301</f>
        <v>1103.4693700000003</v>
      </c>
      <c r="H290" s="119">
        <f t="shared" si="143"/>
        <v>0</v>
      </c>
      <c r="I290" s="119">
        <f t="shared" si="143"/>
        <v>0</v>
      </c>
      <c r="J290" s="119">
        <f t="shared" si="143"/>
        <v>0</v>
      </c>
      <c r="K290" s="119">
        <f t="shared" si="143"/>
        <v>833.33333</v>
      </c>
      <c r="L290" s="119">
        <f t="shared" si="143"/>
        <v>-64.9</v>
      </c>
      <c r="M290" s="121">
        <f t="shared" si="143"/>
        <v>-224.16396</v>
      </c>
      <c r="N290" s="26">
        <f aca="true" t="shared" si="144" ref="N290:T290">N291+N301</f>
        <v>0</v>
      </c>
      <c r="O290" s="189">
        <f t="shared" si="144"/>
        <v>0</v>
      </c>
      <c r="P290" s="26">
        <f t="shared" si="144"/>
        <v>-87.5</v>
      </c>
      <c r="Q290" s="26">
        <f t="shared" si="144"/>
        <v>0</v>
      </c>
      <c r="R290" s="26">
        <f t="shared" si="144"/>
        <v>0</v>
      </c>
      <c r="S290" s="26">
        <f t="shared" si="144"/>
        <v>0</v>
      </c>
      <c r="T290" s="26">
        <f t="shared" si="144"/>
        <v>0</v>
      </c>
    </row>
    <row r="291" spans="1:20" s="25" customFormat="1" ht="38.25" hidden="1">
      <c r="A291" s="17"/>
      <c r="B291" s="17"/>
      <c r="C291" s="63" t="s">
        <v>200</v>
      </c>
      <c r="D291" s="11"/>
      <c r="E291" s="60" t="s">
        <v>114</v>
      </c>
      <c r="F291" s="95">
        <f>F292</f>
        <v>53.5</v>
      </c>
      <c r="G291" s="95">
        <f aca="true" t="shared" si="145" ref="G291:M291">G292</f>
        <v>53.5</v>
      </c>
      <c r="H291" s="95">
        <f t="shared" si="145"/>
        <v>0</v>
      </c>
      <c r="I291" s="95">
        <f t="shared" si="145"/>
        <v>0</v>
      </c>
      <c r="J291" s="95">
        <f t="shared" si="145"/>
        <v>0</v>
      </c>
      <c r="K291" s="95">
        <f t="shared" si="145"/>
        <v>0</v>
      </c>
      <c r="L291" s="95">
        <f t="shared" si="145"/>
        <v>0</v>
      </c>
      <c r="M291" s="131">
        <f t="shared" si="145"/>
        <v>0</v>
      </c>
      <c r="N291" s="73">
        <f aca="true" t="shared" si="146" ref="N291:T291">N292</f>
        <v>0</v>
      </c>
      <c r="O291" s="50">
        <f t="shared" si="146"/>
        <v>0</v>
      </c>
      <c r="P291" s="73">
        <f t="shared" si="146"/>
        <v>0</v>
      </c>
      <c r="Q291" s="73">
        <f t="shared" si="146"/>
        <v>0</v>
      </c>
      <c r="R291" s="73">
        <f t="shared" si="146"/>
        <v>0</v>
      </c>
      <c r="S291" s="73">
        <f t="shared" si="146"/>
        <v>0</v>
      </c>
      <c r="T291" s="73">
        <f t="shared" si="146"/>
        <v>0</v>
      </c>
    </row>
    <row r="292" spans="1:20" s="25" customFormat="1" ht="25.5" hidden="1">
      <c r="A292" s="17"/>
      <c r="B292" s="17"/>
      <c r="C292" s="82" t="s">
        <v>227</v>
      </c>
      <c r="D292" s="41"/>
      <c r="E292" s="61" t="s">
        <v>116</v>
      </c>
      <c r="F292" s="79">
        <f>F293+F298</f>
        <v>53.5</v>
      </c>
      <c r="G292" s="79">
        <f aca="true" t="shared" si="147" ref="G292:M292">G293+G298</f>
        <v>53.5</v>
      </c>
      <c r="H292" s="79">
        <f t="shared" si="147"/>
        <v>0</v>
      </c>
      <c r="I292" s="79">
        <f t="shared" si="147"/>
        <v>0</v>
      </c>
      <c r="J292" s="79">
        <f t="shared" si="147"/>
        <v>0</v>
      </c>
      <c r="K292" s="79">
        <f t="shared" si="147"/>
        <v>0</v>
      </c>
      <c r="L292" s="79">
        <f t="shared" si="147"/>
        <v>0</v>
      </c>
      <c r="M292" s="96">
        <f t="shared" si="147"/>
        <v>0</v>
      </c>
      <c r="N292" s="68">
        <f aca="true" t="shared" si="148" ref="N292:T292">N293+N298</f>
        <v>0</v>
      </c>
      <c r="O292" s="51">
        <f t="shared" si="148"/>
        <v>0</v>
      </c>
      <c r="P292" s="68">
        <f t="shared" si="148"/>
        <v>0</v>
      </c>
      <c r="Q292" s="68">
        <f t="shared" si="148"/>
        <v>0</v>
      </c>
      <c r="R292" s="68">
        <f t="shared" si="148"/>
        <v>0</v>
      </c>
      <c r="S292" s="68">
        <f t="shared" si="148"/>
        <v>0</v>
      </c>
      <c r="T292" s="68">
        <f t="shared" si="148"/>
        <v>0</v>
      </c>
    </row>
    <row r="293" spans="1:20" s="25" customFormat="1" ht="12.75" hidden="1">
      <c r="A293" s="17"/>
      <c r="B293" s="17"/>
      <c r="C293" s="66" t="s">
        <v>228</v>
      </c>
      <c r="D293" s="41"/>
      <c r="E293" s="83" t="s">
        <v>230</v>
      </c>
      <c r="F293" s="79">
        <f>F294+F296</f>
        <v>53.5</v>
      </c>
      <c r="G293" s="79">
        <f aca="true" t="shared" si="149" ref="G293:M293">G294+G296</f>
        <v>53.5</v>
      </c>
      <c r="H293" s="79">
        <f t="shared" si="149"/>
        <v>0</v>
      </c>
      <c r="I293" s="79">
        <f t="shared" si="149"/>
        <v>0</v>
      </c>
      <c r="J293" s="79">
        <f t="shared" si="149"/>
        <v>0</v>
      </c>
      <c r="K293" s="79">
        <f t="shared" si="149"/>
        <v>0</v>
      </c>
      <c r="L293" s="79">
        <f t="shared" si="149"/>
        <v>0</v>
      </c>
      <c r="M293" s="96">
        <f t="shared" si="149"/>
        <v>0</v>
      </c>
      <c r="N293" s="79">
        <f aca="true" t="shared" si="150" ref="N293:T293">N294+N296</f>
        <v>0</v>
      </c>
      <c r="O293" s="115">
        <f t="shared" si="150"/>
        <v>0</v>
      </c>
      <c r="P293" s="79">
        <f t="shared" si="150"/>
        <v>0</v>
      </c>
      <c r="Q293" s="79">
        <f t="shared" si="150"/>
        <v>0</v>
      </c>
      <c r="R293" s="79">
        <f t="shared" si="150"/>
        <v>0</v>
      </c>
      <c r="S293" s="79">
        <f t="shared" si="150"/>
        <v>0</v>
      </c>
      <c r="T293" s="79">
        <f t="shared" si="150"/>
        <v>0</v>
      </c>
    </row>
    <row r="294" spans="1:20" s="25" customFormat="1" ht="25.5" hidden="1">
      <c r="A294" s="17"/>
      <c r="B294" s="17"/>
      <c r="C294" s="66" t="s">
        <v>229</v>
      </c>
      <c r="D294" s="41"/>
      <c r="E294" s="83" t="s">
        <v>231</v>
      </c>
      <c r="F294" s="79">
        <f>F295</f>
        <v>7.3</v>
      </c>
      <c r="G294" s="79">
        <f aca="true" t="shared" si="151" ref="G294:M294">G295</f>
        <v>7.3</v>
      </c>
      <c r="H294" s="79">
        <f t="shared" si="151"/>
        <v>0</v>
      </c>
      <c r="I294" s="79">
        <f t="shared" si="151"/>
        <v>0</v>
      </c>
      <c r="J294" s="79">
        <f t="shared" si="151"/>
        <v>0</v>
      </c>
      <c r="K294" s="79">
        <f t="shared" si="151"/>
        <v>0</v>
      </c>
      <c r="L294" s="79">
        <f t="shared" si="151"/>
        <v>0</v>
      </c>
      <c r="M294" s="96">
        <f t="shared" si="151"/>
        <v>0</v>
      </c>
      <c r="N294" s="68">
        <f aca="true" t="shared" si="152" ref="N294:T294">N295</f>
        <v>0</v>
      </c>
      <c r="O294" s="51">
        <f t="shared" si="152"/>
        <v>0</v>
      </c>
      <c r="P294" s="68">
        <f t="shared" si="152"/>
        <v>0</v>
      </c>
      <c r="Q294" s="68">
        <f t="shared" si="152"/>
        <v>0</v>
      </c>
      <c r="R294" s="68">
        <f t="shared" si="152"/>
        <v>0</v>
      </c>
      <c r="S294" s="68">
        <f t="shared" si="152"/>
        <v>0</v>
      </c>
      <c r="T294" s="68">
        <f t="shared" si="152"/>
        <v>0</v>
      </c>
    </row>
    <row r="295" spans="1:20" s="25" customFormat="1" ht="25.5" hidden="1">
      <c r="A295" s="17"/>
      <c r="B295" s="17"/>
      <c r="C295" s="66"/>
      <c r="D295" s="41" t="s">
        <v>3</v>
      </c>
      <c r="E295" s="67" t="s">
        <v>95</v>
      </c>
      <c r="F295" s="79">
        <v>7.3</v>
      </c>
      <c r="G295" s="93">
        <f>F295+SUM(H295:T295)</f>
        <v>7.3</v>
      </c>
      <c r="H295" s="68"/>
      <c r="I295" s="68"/>
      <c r="J295" s="69"/>
      <c r="K295" s="69"/>
      <c r="L295" s="68"/>
      <c r="M295" s="70"/>
      <c r="N295" s="68"/>
      <c r="O295" s="51"/>
      <c r="P295" s="68"/>
      <c r="Q295" s="68"/>
      <c r="R295" s="68"/>
      <c r="S295" s="68"/>
      <c r="T295" s="68"/>
    </row>
    <row r="296" spans="1:20" s="25" customFormat="1" ht="25.5" hidden="1">
      <c r="A296" s="17"/>
      <c r="B296" s="17"/>
      <c r="C296" s="66" t="s">
        <v>503</v>
      </c>
      <c r="D296" s="41"/>
      <c r="E296" s="67" t="s">
        <v>502</v>
      </c>
      <c r="F296" s="79">
        <f>F297</f>
        <v>46.2</v>
      </c>
      <c r="G296" s="79">
        <f aca="true" t="shared" si="153" ref="G296:M296">G297</f>
        <v>46.2</v>
      </c>
      <c r="H296" s="79">
        <f t="shared" si="153"/>
        <v>0</v>
      </c>
      <c r="I296" s="79">
        <f t="shared" si="153"/>
        <v>0</v>
      </c>
      <c r="J296" s="79">
        <f t="shared" si="153"/>
        <v>0</v>
      </c>
      <c r="K296" s="79">
        <f t="shared" si="153"/>
        <v>0</v>
      </c>
      <c r="L296" s="79">
        <f t="shared" si="153"/>
        <v>0</v>
      </c>
      <c r="M296" s="96">
        <f t="shared" si="153"/>
        <v>0</v>
      </c>
      <c r="N296" s="79">
        <f aca="true" t="shared" si="154" ref="N296:T296">N297</f>
        <v>0</v>
      </c>
      <c r="O296" s="115">
        <f t="shared" si="154"/>
        <v>0</v>
      </c>
      <c r="P296" s="79">
        <f t="shared" si="154"/>
        <v>0</v>
      </c>
      <c r="Q296" s="79">
        <f t="shared" si="154"/>
        <v>0</v>
      </c>
      <c r="R296" s="79">
        <f t="shared" si="154"/>
        <v>0</v>
      </c>
      <c r="S296" s="79">
        <f t="shared" si="154"/>
        <v>0</v>
      </c>
      <c r="T296" s="79">
        <f t="shared" si="154"/>
        <v>0</v>
      </c>
    </row>
    <row r="297" spans="1:20" s="25" customFormat="1" ht="25.5" hidden="1">
      <c r="A297" s="17"/>
      <c r="B297" s="17"/>
      <c r="C297" s="66"/>
      <c r="D297" s="41" t="s">
        <v>3</v>
      </c>
      <c r="E297" s="67" t="s">
        <v>95</v>
      </c>
      <c r="F297" s="79">
        <v>46.2</v>
      </c>
      <c r="G297" s="93">
        <f>F297+SUM(H297:T297)</f>
        <v>46.2</v>
      </c>
      <c r="H297" s="68"/>
      <c r="I297" s="68"/>
      <c r="J297" s="69"/>
      <c r="K297" s="69"/>
      <c r="L297" s="68"/>
      <c r="M297" s="70"/>
      <c r="N297" s="68"/>
      <c r="O297" s="51"/>
      <c r="P297" s="68"/>
      <c r="Q297" s="68"/>
      <c r="R297" s="68"/>
      <c r="S297" s="68"/>
      <c r="T297" s="68"/>
    </row>
    <row r="298" spans="1:20" s="25" customFormat="1" ht="25.5" hidden="1">
      <c r="A298" s="17"/>
      <c r="B298" s="17"/>
      <c r="C298" s="66" t="s">
        <v>232</v>
      </c>
      <c r="D298" s="41"/>
      <c r="E298" s="83" t="s">
        <v>234</v>
      </c>
      <c r="F298" s="79">
        <f>F299</f>
        <v>0</v>
      </c>
      <c r="G298" s="79">
        <f aca="true" t="shared" si="155" ref="G298:T299">G299</f>
        <v>0</v>
      </c>
      <c r="H298" s="68">
        <f t="shared" si="155"/>
        <v>0</v>
      </c>
      <c r="I298" s="68">
        <f t="shared" si="155"/>
        <v>0</v>
      </c>
      <c r="J298" s="68">
        <f t="shared" si="155"/>
        <v>0</v>
      </c>
      <c r="K298" s="68">
        <f t="shared" si="155"/>
        <v>0</v>
      </c>
      <c r="L298" s="68">
        <f t="shared" si="155"/>
        <v>0</v>
      </c>
      <c r="M298" s="70">
        <f t="shared" si="155"/>
        <v>0</v>
      </c>
      <c r="N298" s="68">
        <f t="shared" si="155"/>
        <v>0</v>
      </c>
      <c r="O298" s="51">
        <f t="shared" si="155"/>
        <v>0</v>
      </c>
      <c r="P298" s="68">
        <f t="shared" si="155"/>
        <v>0</v>
      </c>
      <c r="Q298" s="68">
        <f t="shared" si="155"/>
        <v>0</v>
      </c>
      <c r="R298" s="68">
        <f t="shared" si="155"/>
        <v>0</v>
      </c>
      <c r="S298" s="68">
        <f t="shared" si="155"/>
        <v>0</v>
      </c>
      <c r="T298" s="68">
        <f t="shared" si="155"/>
        <v>0</v>
      </c>
    </row>
    <row r="299" spans="1:20" s="25" customFormat="1" ht="25.5" hidden="1">
      <c r="A299" s="17"/>
      <c r="B299" s="17"/>
      <c r="C299" s="66" t="s">
        <v>233</v>
      </c>
      <c r="D299" s="41"/>
      <c r="E299" s="83" t="s">
        <v>235</v>
      </c>
      <c r="F299" s="79">
        <f>F300</f>
        <v>0</v>
      </c>
      <c r="G299" s="79">
        <f t="shared" si="155"/>
        <v>0</v>
      </c>
      <c r="H299" s="68">
        <f t="shared" si="155"/>
        <v>0</v>
      </c>
      <c r="I299" s="68">
        <f t="shared" si="155"/>
        <v>0</v>
      </c>
      <c r="J299" s="68">
        <f t="shared" si="155"/>
        <v>0</v>
      </c>
      <c r="K299" s="68">
        <f t="shared" si="155"/>
        <v>0</v>
      </c>
      <c r="L299" s="68">
        <f t="shared" si="155"/>
        <v>0</v>
      </c>
      <c r="M299" s="70">
        <f t="shared" si="155"/>
        <v>0</v>
      </c>
      <c r="N299" s="68">
        <f t="shared" si="155"/>
        <v>0</v>
      </c>
      <c r="O299" s="51">
        <f t="shared" si="155"/>
        <v>0</v>
      </c>
      <c r="P299" s="68">
        <f t="shared" si="155"/>
        <v>0</v>
      </c>
      <c r="Q299" s="68">
        <f t="shared" si="155"/>
        <v>0</v>
      </c>
      <c r="R299" s="68">
        <f t="shared" si="155"/>
        <v>0</v>
      </c>
      <c r="S299" s="68">
        <f t="shared" si="155"/>
        <v>0</v>
      </c>
      <c r="T299" s="68">
        <f t="shared" si="155"/>
        <v>0</v>
      </c>
    </row>
    <row r="300" spans="1:20" s="25" customFormat="1" ht="25.5" hidden="1">
      <c r="A300" s="17"/>
      <c r="B300" s="17"/>
      <c r="C300" s="66"/>
      <c r="D300" s="41" t="s">
        <v>3</v>
      </c>
      <c r="E300" s="67" t="s">
        <v>95</v>
      </c>
      <c r="F300" s="79"/>
      <c r="G300" s="130">
        <f>F300+SUM(H300:T300)</f>
        <v>0</v>
      </c>
      <c r="H300" s="68"/>
      <c r="I300" s="68"/>
      <c r="J300" s="69"/>
      <c r="K300" s="69"/>
      <c r="L300" s="68"/>
      <c r="M300" s="70"/>
      <c r="N300" s="68"/>
      <c r="O300" s="51"/>
      <c r="P300" s="68"/>
      <c r="Q300" s="68"/>
      <c r="R300" s="68"/>
      <c r="S300" s="68"/>
      <c r="T300" s="68"/>
    </row>
    <row r="301" spans="1:20" s="25" customFormat="1" ht="38.25" hidden="1">
      <c r="A301" s="17"/>
      <c r="B301" s="17"/>
      <c r="C301" s="63" t="s">
        <v>372</v>
      </c>
      <c r="D301" s="11"/>
      <c r="E301" s="84" t="s">
        <v>137</v>
      </c>
      <c r="F301" s="95">
        <f>F302</f>
        <v>593.2</v>
      </c>
      <c r="G301" s="95">
        <f aca="true" t="shared" si="156" ref="G301:M304">G302</f>
        <v>1049.9693700000003</v>
      </c>
      <c r="H301" s="95">
        <f t="shared" si="156"/>
        <v>0</v>
      </c>
      <c r="I301" s="95">
        <f t="shared" si="156"/>
        <v>0</v>
      </c>
      <c r="J301" s="95">
        <f t="shared" si="156"/>
        <v>0</v>
      </c>
      <c r="K301" s="95">
        <f t="shared" si="156"/>
        <v>833.33333</v>
      </c>
      <c r="L301" s="95">
        <f t="shared" si="156"/>
        <v>-64.9</v>
      </c>
      <c r="M301" s="131">
        <f t="shared" si="156"/>
        <v>-224.16396</v>
      </c>
      <c r="N301" s="73">
        <f aca="true" t="shared" si="157" ref="N301:T304">N302</f>
        <v>0</v>
      </c>
      <c r="O301" s="50">
        <f t="shared" si="157"/>
        <v>0</v>
      </c>
      <c r="P301" s="73">
        <f t="shared" si="157"/>
        <v>-87.5</v>
      </c>
      <c r="Q301" s="73">
        <f t="shared" si="157"/>
        <v>0</v>
      </c>
      <c r="R301" s="73">
        <f t="shared" si="157"/>
        <v>0</v>
      </c>
      <c r="S301" s="73">
        <f t="shared" si="157"/>
        <v>0</v>
      </c>
      <c r="T301" s="73">
        <f t="shared" si="157"/>
        <v>0</v>
      </c>
    </row>
    <row r="302" spans="1:20" s="25" customFormat="1" ht="12.75" hidden="1">
      <c r="A302" s="17"/>
      <c r="B302" s="17"/>
      <c r="C302" s="82" t="s">
        <v>413</v>
      </c>
      <c r="D302" s="99"/>
      <c r="E302" s="103" t="s">
        <v>416</v>
      </c>
      <c r="F302" s="79">
        <f>F303</f>
        <v>593.2</v>
      </c>
      <c r="G302" s="79">
        <f t="shared" si="156"/>
        <v>1049.9693700000003</v>
      </c>
      <c r="H302" s="79">
        <f t="shared" si="156"/>
        <v>0</v>
      </c>
      <c r="I302" s="79">
        <f t="shared" si="156"/>
        <v>0</v>
      </c>
      <c r="J302" s="79">
        <f t="shared" si="156"/>
        <v>0</v>
      </c>
      <c r="K302" s="79">
        <f t="shared" si="156"/>
        <v>833.33333</v>
      </c>
      <c r="L302" s="79">
        <f t="shared" si="156"/>
        <v>-64.9</v>
      </c>
      <c r="M302" s="96">
        <f t="shared" si="156"/>
        <v>-224.16396</v>
      </c>
      <c r="N302" s="68">
        <f t="shared" si="157"/>
        <v>0</v>
      </c>
      <c r="O302" s="51">
        <f t="shared" si="157"/>
        <v>0</v>
      </c>
      <c r="P302" s="68">
        <f t="shared" si="157"/>
        <v>-87.5</v>
      </c>
      <c r="Q302" s="68">
        <f t="shared" si="157"/>
        <v>0</v>
      </c>
      <c r="R302" s="68">
        <f t="shared" si="157"/>
        <v>0</v>
      </c>
      <c r="S302" s="68">
        <f t="shared" si="157"/>
        <v>0</v>
      </c>
      <c r="T302" s="68">
        <f t="shared" si="157"/>
        <v>0</v>
      </c>
    </row>
    <row r="303" spans="1:20" s="25" customFormat="1" ht="12.75" hidden="1">
      <c r="A303" s="17"/>
      <c r="B303" s="17"/>
      <c r="C303" s="66" t="s">
        <v>414</v>
      </c>
      <c r="D303" s="41"/>
      <c r="E303" s="67" t="s">
        <v>417</v>
      </c>
      <c r="F303" s="79">
        <f>F304</f>
        <v>593.2</v>
      </c>
      <c r="G303" s="79">
        <f t="shared" si="156"/>
        <v>1049.9693700000003</v>
      </c>
      <c r="H303" s="79">
        <f t="shared" si="156"/>
        <v>0</v>
      </c>
      <c r="I303" s="79">
        <f t="shared" si="156"/>
        <v>0</v>
      </c>
      <c r="J303" s="79">
        <f t="shared" si="156"/>
        <v>0</v>
      </c>
      <c r="K303" s="79">
        <f t="shared" si="156"/>
        <v>833.33333</v>
      </c>
      <c r="L303" s="79">
        <f t="shared" si="156"/>
        <v>-64.9</v>
      </c>
      <c r="M303" s="96">
        <f t="shared" si="156"/>
        <v>-224.16396</v>
      </c>
      <c r="N303" s="68">
        <f t="shared" si="157"/>
        <v>0</v>
      </c>
      <c r="O303" s="51">
        <f t="shared" si="157"/>
        <v>0</v>
      </c>
      <c r="P303" s="68">
        <f t="shared" si="157"/>
        <v>-87.5</v>
      </c>
      <c r="Q303" s="68">
        <f t="shared" si="157"/>
        <v>0</v>
      </c>
      <c r="R303" s="68">
        <f t="shared" si="157"/>
        <v>0</v>
      </c>
      <c r="S303" s="68">
        <f t="shared" si="157"/>
        <v>0</v>
      </c>
      <c r="T303" s="68">
        <f t="shared" si="157"/>
        <v>0</v>
      </c>
    </row>
    <row r="304" spans="1:20" s="25" customFormat="1" ht="12.75" hidden="1">
      <c r="A304" s="17"/>
      <c r="B304" s="17"/>
      <c r="C304" s="66" t="s">
        <v>415</v>
      </c>
      <c r="D304" s="41"/>
      <c r="E304" s="67" t="s">
        <v>418</v>
      </c>
      <c r="F304" s="79">
        <f>F305</f>
        <v>593.2</v>
      </c>
      <c r="G304" s="79">
        <f t="shared" si="156"/>
        <v>1049.9693700000003</v>
      </c>
      <c r="H304" s="79">
        <f t="shared" si="156"/>
        <v>0</v>
      </c>
      <c r="I304" s="79">
        <f t="shared" si="156"/>
        <v>0</v>
      </c>
      <c r="J304" s="79">
        <f t="shared" si="156"/>
        <v>0</v>
      </c>
      <c r="K304" s="79">
        <f t="shared" si="156"/>
        <v>833.33333</v>
      </c>
      <c r="L304" s="79">
        <f t="shared" si="156"/>
        <v>-64.9</v>
      </c>
      <c r="M304" s="96">
        <f t="shared" si="156"/>
        <v>-224.16396</v>
      </c>
      <c r="N304" s="68">
        <f t="shared" si="157"/>
        <v>0</v>
      </c>
      <c r="O304" s="51">
        <f t="shared" si="157"/>
        <v>0</v>
      </c>
      <c r="P304" s="68">
        <f t="shared" si="157"/>
        <v>-87.5</v>
      </c>
      <c r="Q304" s="68">
        <f t="shared" si="157"/>
        <v>0</v>
      </c>
      <c r="R304" s="68">
        <f t="shared" si="157"/>
        <v>0</v>
      </c>
      <c r="S304" s="68">
        <f t="shared" si="157"/>
        <v>0</v>
      </c>
      <c r="T304" s="68">
        <f t="shared" si="157"/>
        <v>0</v>
      </c>
    </row>
    <row r="305" spans="1:20" s="25" customFormat="1" ht="25.5" hidden="1">
      <c r="A305" s="17"/>
      <c r="B305" s="17"/>
      <c r="C305" s="66"/>
      <c r="D305" s="41" t="s">
        <v>3</v>
      </c>
      <c r="E305" s="67" t="s">
        <v>95</v>
      </c>
      <c r="F305" s="79">
        <v>593.2</v>
      </c>
      <c r="G305" s="93">
        <f>F305+SUM(H305:T305)</f>
        <v>1049.9693700000003</v>
      </c>
      <c r="H305" s="68"/>
      <c r="I305" s="68"/>
      <c r="J305" s="69"/>
      <c r="K305" s="69">
        <v>833.33333</v>
      </c>
      <c r="L305" s="68">
        <v>-64.9</v>
      </c>
      <c r="M305" s="70">
        <f>-224.14396-0.02</f>
        <v>-224.16396</v>
      </c>
      <c r="N305" s="68"/>
      <c r="O305" s="51"/>
      <c r="P305" s="68">
        <v>-87.5</v>
      </c>
      <c r="Q305" s="68"/>
      <c r="R305" s="68"/>
      <c r="S305" s="68"/>
      <c r="T305" s="68"/>
    </row>
    <row r="306" spans="1:20" s="25" customFormat="1" ht="12.75">
      <c r="A306" s="17"/>
      <c r="B306" s="5" t="s">
        <v>13</v>
      </c>
      <c r="C306" s="16"/>
      <c r="D306" s="5"/>
      <c r="E306" s="13" t="s">
        <v>14</v>
      </c>
      <c r="F306" s="95">
        <f>F307+F320</f>
        <v>41495.5</v>
      </c>
      <c r="G306" s="95">
        <f aca="true" t="shared" si="158" ref="G306:T306">G307+G320</f>
        <v>50679.32434</v>
      </c>
      <c r="H306" s="95">
        <f t="shared" si="158"/>
        <v>0</v>
      </c>
      <c r="I306" s="95">
        <f t="shared" si="158"/>
        <v>10486</v>
      </c>
      <c r="J306" s="95">
        <f t="shared" si="158"/>
        <v>-1553.1756599999999</v>
      </c>
      <c r="K306" s="95">
        <f t="shared" si="158"/>
        <v>-135</v>
      </c>
      <c r="L306" s="95">
        <f t="shared" si="158"/>
        <v>0</v>
      </c>
      <c r="M306" s="131">
        <f t="shared" si="158"/>
        <v>2500</v>
      </c>
      <c r="N306" s="95">
        <f t="shared" si="158"/>
        <v>0</v>
      </c>
      <c r="O306" s="184">
        <f t="shared" si="158"/>
        <v>-711.4</v>
      </c>
      <c r="P306" s="95">
        <f t="shared" si="158"/>
        <v>-1402.6</v>
      </c>
      <c r="Q306" s="95">
        <f t="shared" si="158"/>
        <v>0</v>
      </c>
      <c r="R306" s="95">
        <f>R307+R320</f>
        <v>0</v>
      </c>
      <c r="S306" s="95">
        <f>S307+S320</f>
        <v>0</v>
      </c>
      <c r="T306" s="95">
        <f t="shared" si="158"/>
        <v>0</v>
      </c>
    </row>
    <row r="307" spans="1:20" s="24" customFormat="1" ht="38.25" hidden="1">
      <c r="A307" s="5"/>
      <c r="B307" s="5"/>
      <c r="C307" s="63" t="s">
        <v>372</v>
      </c>
      <c r="D307" s="11"/>
      <c r="E307" s="84" t="s">
        <v>137</v>
      </c>
      <c r="F307" s="95">
        <f>F308</f>
        <v>41495.5</v>
      </c>
      <c r="G307" s="95">
        <f aca="true" t="shared" si="159" ref="G307:T307">G308</f>
        <v>38788.95434</v>
      </c>
      <c r="H307" s="73">
        <f t="shared" si="159"/>
        <v>0</v>
      </c>
      <c r="I307" s="73">
        <f t="shared" si="159"/>
        <v>10486</v>
      </c>
      <c r="J307" s="73">
        <f t="shared" si="159"/>
        <v>-1553.1756599999999</v>
      </c>
      <c r="K307" s="73">
        <f t="shared" si="159"/>
        <v>-135</v>
      </c>
      <c r="L307" s="73">
        <f t="shared" si="159"/>
        <v>-11890.4</v>
      </c>
      <c r="M307" s="77">
        <f t="shared" si="159"/>
        <v>2500</v>
      </c>
      <c r="N307" s="73">
        <f t="shared" si="159"/>
        <v>0</v>
      </c>
      <c r="O307" s="50">
        <f t="shared" si="159"/>
        <v>-711.37</v>
      </c>
      <c r="P307" s="73">
        <f t="shared" si="159"/>
        <v>-1402.6</v>
      </c>
      <c r="Q307" s="73">
        <f t="shared" si="159"/>
        <v>0</v>
      </c>
      <c r="R307" s="73">
        <f t="shared" si="159"/>
        <v>0</v>
      </c>
      <c r="S307" s="73">
        <f t="shared" si="159"/>
        <v>0</v>
      </c>
      <c r="T307" s="73">
        <f t="shared" si="159"/>
        <v>0</v>
      </c>
    </row>
    <row r="308" spans="1:20" s="24" customFormat="1" ht="25.5" hidden="1">
      <c r="A308" s="5"/>
      <c r="B308" s="5"/>
      <c r="C308" s="82" t="s">
        <v>373</v>
      </c>
      <c r="D308" s="41"/>
      <c r="E308" s="85" t="s">
        <v>138</v>
      </c>
      <c r="F308" s="79">
        <f>F309+F312+F317</f>
        <v>41495.5</v>
      </c>
      <c r="G308" s="79">
        <f aca="true" t="shared" si="160" ref="G308:T308">G309+G312+G317</f>
        <v>38788.95434</v>
      </c>
      <c r="H308" s="68">
        <f t="shared" si="160"/>
        <v>0</v>
      </c>
      <c r="I308" s="68">
        <f t="shared" si="160"/>
        <v>10486</v>
      </c>
      <c r="J308" s="68">
        <f t="shared" si="160"/>
        <v>-1553.1756599999999</v>
      </c>
      <c r="K308" s="68">
        <f t="shared" si="160"/>
        <v>-135</v>
      </c>
      <c r="L308" s="68">
        <f t="shared" si="160"/>
        <v>-11890.4</v>
      </c>
      <c r="M308" s="70">
        <f t="shared" si="160"/>
        <v>2500</v>
      </c>
      <c r="N308" s="68">
        <f t="shared" si="160"/>
        <v>0</v>
      </c>
      <c r="O308" s="51">
        <f t="shared" si="160"/>
        <v>-711.37</v>
      </c>
      <c r="P308" s="68">
        <f t="shared" si="160"/>
        <v>-1402.6</v>
      </c>
      <c r="Q308" s="68">
        <f t="shared" si="160"/>
        <v>0</v>
      </c>
      <c r="R308" s="68">
        <f>R309+R312+R317</f>
        <v>0</v>
      </c>
      <c r="S308" s="68">
        <f>S309+S312+S317</f>
        <v>0</v>
      </c>
      <c r="T308" s="68">
        <f t="shared" si="160"/>
        <v>0</v>
      </c>
    </row>
    <row r="309" spans="1:21" s="24" customFormat="1" ht="38.25" hidden="1">
      <c r="A309" s="17"/>
      <c r="B309" s="17"/>
      <c r="C309" s="66" t="s">
        <v>374</v>
      </c>
      <c r="D309" s="41"/>
      <c r="E309" s="83" t="s">
        <v>376</v>
      </c>
      <c r="F309" s="79">
        <f>F310</f>
        <v>33295.5</v>
      </c>
      <c r="G309" s="79">
        <f aca="true" t="shared" si="161" ref="G309:T310">G310</f>
        <v>35317.505</v>
      </c>
      <c r="H309" s="68">
        <f t="shared" si="161"/>
        <v>0</v>
      </c>
      <c r="I309" s="68">
        <f t="shared" si="161"/>
        <v>0</v>
      </c>
      <c r="J309" s="68">
        <f t="shared" si="161"/>
        <v>883.205</v>
      </c>
      <c r="K309" s="68">
        <f t="shared" si="161"/>
        <v>-135</v>
      </c>
      <c r="L309" s="68">
        <f t="shared" si="161"/>
        <v>-340.1</v>
      </c>
      <c r="M309" s="70">
        <f t="shared" si="161"/>
        <v>2500</v>
      </c>
      <c r="N309" s="68">
        <f t="shared" si="161"/>
        <v>0</v>
      </c>
      <c r="O309" s="51">
        <f t="shared" si="161"/>
        <v>-172.1</v>
      </c>
      <c r="P309" s="68">
        <f t="shared" si="161"/>
        <v>-1014</v>
      </c>
      <c r="Q309" s="68">
        <f t="shared" si="161"/>
        <v>0</v>
      </c>
      <c r="R309" s="68">
        <f t="shared" si="161"/>
        <v>300</v>
      </c>
      <c r="S309" s="68">
        <f t="shared" si="161"/>
        <v>0</v>
      </c>
      <c r="T309" s="68">
        <f t="shared" si="161"/>
        <v>0</v>
      </c>
      <c r="U309" s="25"/>
    </row>
    <row r="310" spans="1:20" s="24" customFormat="1" ht="38.25" hidden="1">
      <c r="A310" s="17"/>
      <c r="B310" s="17"/>
      <c r="C310" s="66" t="s">
        <v>375</v>
      </c>
      <c r="D310" s="41"/>
      <c r="E310" s="83" t="s">
        <v>360</v>
      </c>
      <c r="F310" s="79">
        <f>F311</f>
        <v>33295.5</v>
      </c>
      <c r="G310" s="79">
        <f t="shared" si="161"/>
        <v>35317.505</v>
      </c>
      <c r="H310" s="68">
        <f t="shared" si="161"/>
        <v>0</v>
      </c>
      <c r="I310" s="68">
        <f t="shared" si="161"/>
        <v>0</v>
      </c>
      <c r="J310" s="68">
        <f t="shared" si="161"/>
        <v>883.205</v>
      </c>
      <c r="K310" s="68">
        <f t="shared" si="161"/>
        <v>-135</v>
      </c>
      <c r="L310" s="68">
        <f t="shared" si="161"/>
        <v>-340.1</v>
      </c>
      <c r="M310" s="70">
        <f t="shared" si="161"/>
        <v>2500</v>
      </c>
      <c r="N310" s="68">
        <f t="shared" si="161"/>
        <v>0</v>
      </c>
      <c r="O310" s="51">
        <f t="shared" si="161"/>
        <v>-172.1</v>
      </c>
      <c r="P310" s="68">
        <f t="shared" si="161"/>
        <v>-1014</v>
      </c>
      <c r="Q310" s="68">
        <f t="shared" si="161"/>
        <v>0</v>
      </c>
      <c r="R310" s="68">
        <f t="shared" si="161"/>
        <v>300</v>
      </c>
      <c r="S310" s="68">
        <f t="shared" si="161"/>
        <v>0</v>
      </c>
      <c r="T310" s="68">
        <f t="shared" si="161"/>
        <v>0</v>
      </c>
    </row>
    <row r="311" spans="1:20" s="24" customFormat="1" ht="25.5" hidden="1">
      <c r="A311" s="5"/>
      <c r="B311" s="5"/>
      <c r="C311" s="66"/>
      <c r="D311" s="41" t="s">
        <v>3</v>
      </c>
      <c r="E311" s="67" t="s">
        <v>95</v>
      </c>
      <c r="F311" s="79">
        <v>33295.5</v>
      </c>
      <c r="G311" s="93">
        <f>F311+SUM(H311:T311)</f>
        <v>35317.505</v>
      </c>
      <c r="H311" s="68"/>
      <c r="I311" s="68"/>
      <c r="J311" s="68">
        <v>883.205</v>
      </c>
      <c r="K311" s="68">
        <v>-135</v>
      </c>
      <c r="L311" s="68">
        <f>-147-193.1</f>
        <v>-340.1</v>
      </c>
      <c r="M311" s="70">
        <f>2500</f>
        <v>2500</v>
      </c>
      <c r="N311" s="68"/>
      <c r="O311" s="51">
        <v>-172.1</v>
      </c>
      <c r="P311" s="68">
        <v>-1014</v>
      </c>
      <c r="Q311" s="68"/>
      <c r="R311" s="68">
        <v>300</v>
      </c>
      <c r="S311" s="68"/>
      <c r="T311" s="68"/>
    </row>
    <row r="312" spans="1:20" s="24" customFormat="1" ht="25.5" hidden="1">
      <c r="A312" s="5"/>
      <c r="B312" s="5"/>
      <c r="C312" s="66" t="s">
        <v>377</v>
      </c>
      <c r="D312" s="41"/>
      <c r="E312" s="83" t="s">
        <v>379</v>
      </c>
      <c r="F312" s="79">
        <f>F313+F315</f>
        <v>400</v>
      </c>
      <c r="G312" s="79">
        <f aca="true" t="shared" si="162" ref="G312:T312">G313+G315</f>
        <v>472.1</v>
      </c>
      <c r="H312" s="79">
        <f t="shared" si="162"/>
        <v>0</v>
      </c>
      <c r="I312" s="79">
        <f t="shared" si="162"/>
        <v>10486</v>
      </c>
      <c r="J312" s="79">
        <f t="shared" si="162"/>
        <v>0</v>
      </c>
      <c r="K312" s="79">
        <f t="shared" si="162"/>
        <v>0</v>
      </c>
      <c r="L312" s="79">
        <f t="shared" si="162"/>
        <v>-10486</v>
      </c>
      <c r="M312" s="96">
        <f t="shared" si="162"/>
        <v>0</v>
      </c>
      <c r="N312" s="79">
        <f t="shared" si="162"/>
        <v>0</v>
      </c>
      <c r="O312" s="115">
        <f t="shared" si="162"/>
        <v>72.1</v>
      </c>
      <c r="P312" s="79">
        <f t="shared" si="162"/>
        <v>0</v>
      </c>
      <c r="Q312" s="79">
        <f t="shared" si="162"/>
        <v>0</v>
      </c>
      <c r="R312" s="79">
        <f>R313+R315</f>
        <v>0</v>
      </c>
      <c r="S312" s="79">
        <f>S313+S315</f>
        <v>0</v>
      </c>
      <c r="T312" s="79">
        <f t="shared" si="162"/>
        <v>0</v>
      </c>
    </row>
    <row r="313" spans="1:20" s="24" customFormat="1" ht="38.25" hidden="1">
      <c r="A313" s="5"/>
      <c r="B313" s="5"/>
      <c r="C313" s="66" t="s">
        <v>378</v>
      </c>
      <c r="D313" s="41"/>
      <c r="E313" s="83" t="s">
        <v>360</v>
      </c>
      <c r="F313" s="79">
        <f>F314</f>
        <v>400</v>
      </c>
      <c r="G313" s="79">
        <f aca="true" t="shared" si="163" ref="G313:T313">G314</f>
        <v>472.1</v>
      </c>
      <c r="H313" s="68">
        <f t="shared" si="163"/>
        <v>0</v>
      </c>
      <c r="I313" s="68">
        <f t="shared" si="163"/>
        <v>0</v>
      </c>
      <c r="J313" s="68">
        <f t="shared" si="163"/>
        <v>0</v>
      </c>
      <c r="K313" s="68">
        <f t="shared" si="163"/>
        <v>0</v>
      </c>
      <c r="L313" s="68">
        <f t="shared" si="163"/>
        <v>0</v>
      </c>
      <c r="M313" s="70">
        <f t="shared" si="163"/>
        <v>0</v>
      </c>
      <c r="N313" s="68">
        <f t="shared" si="163"/>
        <v>0</v>
      </c>
      <c r="O313" s="51">
        <f t="shared" si="163"/>
        <v>72.1</v>
      </c>
      <c r="P313" s="68">
        <f t="shared" si="163"/>
        <v>0</v>
      </c>
      <c r="Q313" s="68">
        <f t="shared" si="163"/>
        <v>0</v>
      </c>
      <c r="R313" s="68">
        <f t="shared" si="163"/>
        <v>0</v>
      </c>
      <c r="S313" s="68">
        <f t="shared" si="163"/>
        <v>0</v>
      </c>
      <c r="T313" s="68">
        <f t="shared" si="163"/>
        <v>0</v>
      </c>
    </row>
    <row r="314" spans="1:20" s="24" customFormat="1" ht="25.5" hidden="1">
      <c r="A314" s="5"/>
      <c r="B314" s="5"/>
      <c r="C314" s="66"/>
      <c r="D314" s="41" t="s">
        <v>3</v>
      </c>
      <c r="E314" s="67" t="s">
        <v>95</v>
      </c>
      <c r="F314" s="79">
        <v>400</v>
      </c>
      <c r="G314" s="93">
        <f>F314+SUM(H314:T314)</f>
        <v>472.1</v>
      </c>
      <c r="H314" s="68"/>
      <c r="I314" s="68"/>
      <c r="J314" s="69"/>
      <c r="K314" s="69"/>
      <c r="L314" s="68"/>
      <c r="M314" s="70"/>
      <c r="N314" s="68"/>
      <c r="O314" s="51">
        <v>72.1</v>
      </c>
      <c r="P314" s="68"/>
      <c r="Q314" s="68"/>
      <c r="R314" s="68"/>
      <c r="S314" s="68"/>
      <c r="T314" s="68"/>
    </row>
    <row r="315" spans="1:20" s="24" customFormat="1" ht="63.75" hidden="1">
      <c r="A315" s="5"/>
      <c r="B315" s="5"/>
      <c r="C315" s="66" t="s">
        <v>522</v>
      </c>
      <c r="D315" s="41"/>
      <c r="E315" s="67" t="s">
        <v>523</v>
      </c>
      <c r="F315" s="79">
        <f>F316</f>
        <v>0</v>
      </c>
      <c r="G315" s="79">
        <f aca="true" t="shared" si="164" ref="G315:T315">G316</f>
        <v>0</v>
      </c>
      <c r="H315" s="79">
        <f t="shared" si="164"/>
        <v>0</v>
      </c>
      <c r="I315" s="79">
        <f t="shared" si="164"/>
        <v>10486</v>
      </c>
      <c r="J315" s="79">
        <f t="shared" si="164"/>
        <v>0</v>
      </c>
      <c r="K315" s="79">
        <f t="shared" si="164"/>
        <v>0</v>
      </c>
      <c r="L315" s="79">
        <f t="shared" si="164"/>
        <v>-10486</v>
      </c>
      <c r="M315" s="96">
        <f t="shared" si="164"/>
        <v>0</v>
      </c>
      <c r="N315" s="79">
        <f t="shared" si="164"/>
        <v>0</v>
      </c>
      <c r="O315" s="115">
        <f t="shared" si="164"/>
        <v>0</v>
      </c>
      <c r="P315" s="79">
        <f t="shared" si="164"/>
        <v>0</v>
      </c>
      <c r="Q315" s="79">
        <f t="shared" si="164"/>
        <v>0</v>
      </c>
      <c r="R315" s="79">
        <f t="shared" si="164"/>
        <v>0</v>
      </c>
      <c r="S315" s="79">
        <f t="shared" si="164"/>
        <v>0</v>
      </c>
      <c r="T315" s="79">
        <f t="shared" si="164"/>
        <v>0</v>
      </c>
    </row>
    <row r="316" spans="1:20" s="24" customFormat="1" ht="25.5" hidden="1">
      <c r="A316" s="5"/>
      <c r="B316" s="5"/>
      <c r="C316" s="66"/>
      <c r="D316" s="41" t="s">
        <v>3</v>
      </c>
      <c r="E316" s="67" t="s">
        <v>95</v>
      </c>
      <c r="F316" s="79"/>
      <c r="G316" s="93">
        <f>F316+SUM(H316:T316)</f>
        <v>0</v>
      </c>
      <c r="H316" s="68"/>
      <c r="I316" s="68">
        <v>10486</v>
      </c>
      <c r="J316" s="69"/>
      <c r="K316" s="69"/>
      <c r="L316" s="68">
        <v>-10486</v>
      </c>
      <c r="M316" s="70"/>
      <c r="N316" s="68"/>
      <c r="O316" s="51"/>
      <c r="P316" s="68"/>
      <c r="Q316" s="68"/>
      <c r="R316" s="68"/>
      <c r="S316" s="68"/>
      <c r="T316" s="68"/>
    </row>
    <row r="317" spans="1:20" s="24" customFormat="1" ht="38.25" hidden="1">
      <c r="A317" s="5"/>
      <c r="B317" s="5"/>
      <c r="C317" s="66" t="s">
        <v>380</v>
      </c>
      <c r="D317" s="41"/>
      <c r="E317" s="83" t="s">
        <v>382</v>
      </c>
      <c r="F317" s="93">
        <f>F318</f>
        <v>7800</v>
      </c>
      <c r="G317" s="93">
        <f aca="true" t="shared" si="165" ref="G317:T318">G318</f>
        <v>2999.3493399999998</v>
      </c>
      <c r="H317" s="64">
        <f t="shared" si="165"/>
        <v>0</v>
      </c>
      <c r="I317" s="64">
        <f t="shared" si="165"/>
        <v>0</v>
      </c>
      <c r="J317" s="64">
        <f t="shared" si="165"/>
        <v>-2436.38066</v>
      </c>
      <c r="K317" s="64">
        <f t="shared" si="165"/>
        <v>0</v>
      </c>
      <c r="L317" s="64">
        <f t="shared" si="165"/>
        <v>-1064.3</v>
      </c>
      <c r="M317" s="78">
        <f t="shared" si="165"/>
        <v>0</v>
      </c>
      <c r="N317" s="64">
        <f t="shared" si="165"/>
        <v>0</v>
      </c>
      <c r="O317" s="191">
        <f t="shared" si="165"/>
        <v>-611.37</v>
      </c>
      <c r="P317" s="64">
        <f t="shared" si="165"/>
        <v>-388.6</v>
      </c>
      <c r="Q317" s="64">
        <f t="shared" si="165"/>
        <v>0</v>
      </c>
      <c r="R317" s="64">
        <f t="shared" si="165"/>
        <v>-300</v>
      </c>
      <c r="S317" s="64">
        <f t="shared" si="165"/>
        <v>0</v>
      </c>
      <c r="T317" s="64">
        <f t="shared" si="165"/>
        <v>0</v>
      </c>
    </row>
    <row r="318" spans="1:20" s="24" customFormat="1" ht="38.25" hidden="1">
      <c r="A318" s="5"/>
      <c r="B318" s="5"/>
      <c r="C318" s="66" t="s">
        <v>381</v>
      </c>
      <c r="D318" s="41"/>
      <c r="E318" s="83" t="s">
        <v>360</v>
      </c>
      <c r="F318" s="93">
        <f>F319</f>
        <v>7800</v>
      </c>
      <c r="G318" s="93">
        <f t="shared" si="165"/>
        <v>2999.3493399999998</v>
      </c>
      <c r="H318" s="64">
        <f t="shared" si="165"/>
        <v>0</v>
      </c>
      <c r="I318" s="64">
        <f t="shared" si="165"/>
        <v>0</v>
      </c>
      <c r="J318" s="64">
        <f t="shared" si="165"/>
        <v>-2436.38066</v>
      </c>
      <c r="K318" s="64">
        <f t="shared" si="165"/>
        <v>0</v>
      </c>
      <c r="L318" s="64">
        <f t="shared" si="165"/>
        <v>-1064.3</v>
      </c>
      <c r="M318" s="78">
        <f t="shared" si="165"/>
        <v>0</v>
      </c>
      <c r="N318" s="64">
        <f t="shared" si="165"/>
        <v>0</v>
      </c>
      <c r="O318" s="191">
        <f t="shared" si="165"/>
        <v>-611.37</v>
      </c>
      <c r="P318" s="64">
        <f t="shared" si="165"/>
        <v>-388.6</v>
      </c>
      <c r="Q318" s="64">
        <f t="shared" si="165"/>
        <v>0</v>
      </c>
      <c r="R318" s="64">
        <f t="shared" si="165"/>
        <v>-300</v>
      </c>
      <c r="S318" s="64">
        <f t="shared" si="165"/>
        <v>0</v>
      </c>
      <c r="T318" s="64">
        <f t="shared" si="165"/>
        <v>0</v>
      </c>
    </row>
    <row r="319" spans="1:20" s="24" customFormat="1" ht="25.5" hidden="1">
      <c r="A319" s="5"/>
      <c r="B319" s="5"/>
      <c r="C319" s="66"/>
      <c r="D319" s="41" t="s">
        <v>3</v>
      </c>
      <c r="E319" s="67" t="s">
        <v>95</v>
      </c>
      <c r="F319" s="93">
        <f>7300+500</f>
        <v>7800</v>
      </c>
      <c r="G319" s="93">
        <f>F319+SUM(H319:T319)</f>
        <v>2999.3493399999998</v>
      </c>
      <c r="H319" s="64"/>
      <c r="I319" s="64"/>
      <c r="J319" s="65">
        <v>-2436.38066</v>
      </c>
      <c r="K319" s="65"/>
      <c r="L319" s="64">
        <v>-1064.3</v>
      </c>
      <c r="M319" s="78"/>
      <c r="N319" s="64"/>
      <c r="O319" s="191">
        <v>-611.37</v>
      </c>
      <c r="P319" s="64">
        <v>-388.6</v>
      </c>
      <c r="Q319" s="64"/>
      <c r="R319" s="64">
        <v>-300</v>
      </c>
      <c r="S319" s="64"/>
      <c r="T319" s="64"/>
    </row>
    <row r="320" spans="1:20" s="24" customFormat="1" ht="51">
      <c r="A320" s="5"/>
      <c r="B320" s="5"/>
      <c r="C320" s="63" t="s">
        <v>530</v>
      </c>
      <c r="D320" s="11"/>
      <c r="E320" s="113" t="s">
        <v>531</v>
      </c>
      <c r="F320" s="94">
        <f>F321</f>
        <v>0</v>
      </c>
      <c r="G320" s="94">
        <f aca="true" t="shared" si="166" ref="G320:T320">G321</f>
        <v>11890.37</v>
      </c>
      <c r="H320" s="94">
        <f t="shared" si="166"/>
        <v>0</v>
      </c>
      <c r="I320" s="94">
        <f t="shared" si="166"/>
        <v>0</v>
      </c>
      <c r="J320" s="94">
        <f t="shared" si="166"/>
        <v>0</v>
      </c>
      <c r="K320" s="94">
        <f t="shared" si="166"/>
        <v>0</v>
      </c>
      <c r="L320" s="94">
        <f t="shared" si="166"/>
        <v>11890.4</v>
      </c>
      <c r="M320" s="155">
        <f t="shared" si="166"/>
        <v>0</v>
      </c>
      <c r="N320" s="94">
        <f t="shared" si="166"/>
        <v>0</v>
      </c>
      <c r="O320" s="187">
        <f t="shared" si="166"/>
        <v>-0.03</v>
      </c>
      <c r="P320" s="94">
        <f t="shared" si="166"/>
        <v>0</v>
      </c>
      <c r="Q320" s="94">
        <f t="shared" si="166"/>
        <v>0</v>
      </c>
      <c r="R320" s="94">
        <f t="shared" si="166"/>
        <v>0</v>
      </c>
      <c r="S320" s="94">
        <f t="shared" si="166"/>
        <v>0</v>
      </c>
      <c r="T320" s="94">
        <f t="shared" si="166"/>
        <v>0</v>
      </c>
    </row>
    <row r="321" spans="1:20" s="24" customFormat="1" ht="38.25">
      <c r="A321" s="5"/>
      <c r="B321" s="5"/>
      <c r="C321" s="66" t="s">
        <v>537</v>
      </c>
      <c r="D321" s="41"/>
      <c r="E321" s="67" t="s">
        <v>538</v>
      </c>
      <c r="F321" s="93">
        <f>F322+F324</f>
        <v>0</v>
      </c>
      <c r="G321" s="93">
        <f aca="true" t="shared" si="167" ref="G321:T321">G322+G324</f>
        <v>11890.37</v>
      </c>
      <c r="H321" s="93">
        <f t="shared" si="167"/>
        <v>0</v>
      </c>
      <c r="I321" s="93">
        <f t="shared" si="167"/>
        <v>0</v>
      </c>
      <c r="J321" s="93">
        <f t="shared" si="167"/>
        <v>0</v>
      </c>
      <c r="K321" s="93">
        <f t="shared" si="167"/>
        <v>0</v>
      </c>
      <c r="L321" s="93">
        <f t="shared" si="167"/>
        <v>11890.4</v>
      </c>
      <c r="M321" s="133">
        <f t="shared" si="167"/>
        <v>0</v>
      </c>
      <c r="N321" s="93">
        <f t="shared" si="167"/>
        <v>0</v>
      </c>
      <c r="O321" s="188">
        <f t="shared" si="167"/>
        <v>-0.03</v>
      </c>
      <c r="P321" s="93">
        <f t="shared" si="167"/>
        <v>0</v>
      </c>
      <c r="Q321" s="93">
        <f t="shared" si="167"/>
        <v>0</v>
      </c>
      <c r="R321" s="93">
        <f>R322+R324</f>
        <v>0</v>
      </c>
      <c r="S321" s="93">
        <f>S322+S324</f>
        <v>0</v>
      </c>
      <c r="T321" s="93">
        <f t="shared" si="167"/>
        <v>0</v>
      </c>
    </row>
    <row r="322" spans="1:20" s="24" customFormat="1" ht="25.5">
      <c r="A322" s="5"/>
      <c r="B322" s="5"/>
      <c r="C322" s="66" t="s">
        <v>539</v>
      </c>
      <c r="D322" s="41"/>
      <c r="E322" s="67" t="s">
        <v>535</v>
      </c>
      <c r="F322" s="93">
        <f>F323</f>
        <v>0</v>
      </c>
      <c r="G322" s="93">
        <f aca="true" t="shared" si="168" ref="G322:T322">G323</f>
        <v>11890.37</v>
      </c>
      <c r="H322" s="93">
        <f t="shared" si="168"/>
        <v>0</v>
      </c>
      <c r="I322" s="93">
        <f t="shared" si="168"/>
        <v>0</v>
      </c>
      <c r="J322" s="93">
        <f t="shared" si="168"/>
        <v>0</v>
      </c>
      <c r="K322" s="93">
        <f t="shared" si="168"/>
        <v>0</v>
      </c>
      <c r="L322" s="93">
        <f t="shared" si="168"/>
        <v>1404.4</v>
      </c>
      <c r="M322" s="133">
        <f t="shared" si="168"/>
        <v>0</v>
      </c>
      <c r="N322" s="93">
        <f t="shared" si="168"/>
        <v>0</v>
      </c>
      <c r="O322" s="188">
        <f t="shared" si="168"/>
        <v>-0.03</v>
      </c>
      <c r="P322" s="93">
        <f t="shared" si="168"/>
        <v>0</v>
      </c>
      <c r="Q322" s="93">
        <f t="shared" si="168"/>
        <v>0</v>
      </c>
      <c r="R322" s="93">
        <f t="shared" si="168"/>
        <v>0</v>
      </c>
      <c r="S322" s="93">
        <f t="shared" si="168"/>
        <v>10486</v>
      </c>
      <c r="T322" s="93">
        <f t="shared" si="168"/>
        <v>0</v>
      </c>
    </row>
    <row r="323" spans="1:20" s="24" customFormat="1" ht="25.5">
      <c r="A323" s="5"/>
      <c r="B323" s="5"/>
      <c r="C323" s="66"/>
      <c r="D323" s="41" t="s">
        <v>3</v>
      </c>
      <c r="E323" s="67" t="s">
        <v>95</v>
      </c>
      <c r="F323" s="93"/>
      <c r="G323" s="93">
        <f>F323+SUM(H323:T323)</f>
        <v>11890.37</v>
      </c>
      <c r="H323" s="64"/>
      <c r="I323" s="64"/>
      <c r="J323" s="65"/>
      <c r="K323" s="65"/>
      <c r="L323" s="64">
        <v>1404.4</v>
      </c>
      <c r="M323" s="78"/>
      <c r="N323" s="64"/>
      <c r="O323" s="191">
        <v>-0.03</v>
      </c>
      <c r="P323" s="64"/>
      <c r="Q323" s="64"/>
      <c r="R323" s="64"/>
      <c r="S323" s="64">
        <v>10486</v>
      </c>
      <c r="T323" s="64"/>
    </row>
    <row r="324" spans="1:20" s="24" customFormat="1" ht="25.5">
      <c r="A324" s="5"/>
      <c r="B324" s="5"/>
      <c r="C324" s="66" t="s">
        <v>540</v>
      </c>
      <c r="D324" s="41"/>
      <c r="E324" s="67" t="s">
        <v>536</v>
      </c>
      <c r="F324" s="93">
        <f>F325</f>
        <v>0</v>
      </c>
      <c r="G324" s="93">
        <f aca="true" t="shared" si="169" ref="G324:T324">G325</f>
        <v>0</v>
      </c>
      <c r="H324" s="93">
        <f t="shared" si="169"/>
        <v>0</v>
      </c>
      <c r="I324" s="93">
        <f t="shared" si="169"/>
        <v>0</v>
      </c>
      <c r="J324" s="93">
        <f t="shared" si="169"/>
        <v>0</v>
      </c>
      <c r="K324" s="93">
        <f t="shared" si="169"/>
        <v>0</v>
      </c>
      <c r="L324" s="93">
        <f t="shared" si="169"/>
        <v>10486</v>
      </c>
      <c r="M324" s="133">
        <f t="shared" si="169"/>
        <v>0</v>
      </c>
      <c r="N324" s="93">
        <f t="shared" si="169"/>
        <v>0</v>
      </c>
      <c r="O324" s="188">
        <f t="shared" si="169"/>
        <v>0</v>
      </c>
      <c r="P324" s="93">
        <f t="shared" si="169"/>
        <v>0</v>
      </c>
      <c r="Q324" s="93">
        <f t="shared" si="169"/>
        <v>0</v>
      </c>
      <c r="R324" s="93">
        <f t="shared" si="169"/>
        <v>0</v>
      </c>
      <c r="S324" s="93">
        <f t="shared" si="169"/>
        <v>-10486</v>
      </c>
      <c r="T324" s="93">
        <f t="shared" si="169"/>
        <v>0</v>
      </c>
    </row>
    <row r="325" spans="1:20" s="24" customFormat="1" ht="25.5">
      <c r="A325" s="5"/>
      <c r="B325" s="5"/>
      <c r="C325" s="66"/>
      <c r="D325" s="41" t="s">
        <v>3</v>
      </c>
      <c r="E325" s="67" t="s">
        <v>95</v>
      </c>
      <c r="F325" s="93"/>
      <c r="G325" s="93">
        <f>F325+SUM(H325:T325)</f>
        <v>0</v>
      </c>
      <c r="H325" s="64"/>
      <c r="I325" s="64"/>
      <c r="J325" s="65"/>
      <c r="K325" s="65"/>
      <c r="L325" s="64">
        <v>10486</v>
      </c>
      <c r="M325" s="78"/>
      <c r="N325" s="64"/>
      <c r="O325" s="191"/>
      <c r="P325" s="64"/>
      <c r="Q325" s="64"/>
      <c r="R325" s="64"/>
      <c r="S325" s="64">
        <v>-10486</v>
      </c>
      <c r="T325" s="64"/>
    </row>
    <row r="326" spans="1:20" s="25" customFormat="1" ht="12">
      <c r="A326" s="17"/>
      <c r="B326" s="5" t="s">
        <v>48</v>
      </c>
      <c r="C326" s="16"/>
      <c r="D326" s="5"/>
      <c r="E326" s="13" t="s">
        <v>49</v>
      </c>
      <c r="F326" s="119">
        <f>F327</f>
        <v>500</v>
      </c>
      <c r="G326" s="119">
        <f aca="true" t="shared" si="170" ref="G326:T330">G327</f>
        <v>47.39999999999998</v>
      </c>
      <c r="H326" s="26">
        <f t="shared" si="170"/>
        <v>0</v>
      </c>
      <c r="I326" s="26">
        <f t="shared" si="170"/>
        <v>0</v>
      </c>
      <c r="J326" s="26">
        <f t="shared" si="170"/>
        <v>0</v>
      </c>
      <c r="K326" s="26">
        <f t="shared" si="170"/>
        <v>0</v>
      </c>
      <c r="L326" s="26">
        <f t="shared" si="170"/>
        <v>0</v>
      </c>
      <c r="M326" s="158">
        <f t="shared" si="170"/>
        <v>0</v>
      </c>
      <c r="N326" s="26">
        <f t="shared" si="170"/>
        <v>0</v>
      </c>
      <c r="O326" s="189">
        <f t="shared" si="170"/>
        <v>0</v>
      </c>
      <c r="P326" s="26">
        <f t="shared" si="170"/>
        <v>0</v>
      </c>
      <c r="Q326" s="26">
        <f t="shared" si="170"/>
        <v>0</v>
      </c>
      <c r="R326" s="26">
        <f t="shared" si="170"/>
        <v>0</v>
      </c>
      <c r="S326" s="26">
        <f t="shared" si="170"/>
        <v>-452.6</v>
      </c>
      <c r="T326" s="26">
        <f t="shared" si="170"/>
        <v>0</v>
      </c>
    </row>
    <row r="327" spans="1:20" s="25" customFormat="1" ht="51">
      <c r="A327" s="17"/>
      <c r="B327" s="5"/>
      <c r="C327" s="63" t="s">
        <v>174</v>
      </c>
      <c r="D327" s="11"/>
      <c r="E327" s="60" t="s">
        <v>110</v>
      </c>
      <c r="F327" s="95">
        <f>F328</f>
        <v>500</v>
      </c>
      <c r="G327" s="95">
        <f t="shared" si="170"/>
        <v>47.39999999999998</v>
      </c>
      <c r="H327" s="73">
        <f t="shared" si="170"/>
        <v>0</v>
      </c>
      <c r="I327" s="73">
        <f t="shared" si="170"/>
        <v>0</v>
      </c>
      <c r="J327" s="73">
        <f t="shared" si="170"/>
        <v>0</v>
      </c>
      <c r="K327" s="73">
        <f t="shared" si="170"/>
        <v>0</v>
      </c>
      <c r="L327" s="73">
        <f t="shared" si="170"/>
        <v>0</v>
      </c>
      <c r="M327" s="77">
        <f t="shared" si="170"/>
        <v>0</v>
      </c>
      <c r="N327" s="73">
        <f t="shared" si="170"/>
        <v>0</v>
      </c>
      <c r="O327" s="50">
        <f t="shared" si="170"/>
        <v>0</v>
      </c>
      <c r="P327" s="73">
        <f t="shared" si="170"/>
        <v>0</v>
      </c>
      <c r="Q327" s="73">
        <f t="shared" si="170"/>
        <v>0</v>
      </c>
      <c r="R327" s="73">
        <f t="shared" si="170"/>
        <v>0</v>
      </c>
      <c r="S327" s="73">
        <f t="shared" si="170"/>
        <v>-452.6</v>
      </c>
      <c r="T327" s="73">
        <f t="shared" si="170"/>
        <v>0</v>
      </c>
    </row>
    <row r="328" spans="1:20" s="25" customFormat="1" ht="12.75">
      <c r="A328" s="17"/>
      <c r="B328" s="5"/>
      <c r="C328" s="82" t="s">
        <v>182</v>
      </c>
      <c r="D328" s="41"/>
      <c r="E328" s="61" t="s">
        <v>112</v>
      </c>
      <c r="F328" s="79">
        <f>F329+F332</f>
        <v>500</v>
      </c>
      <c r="G328" s="79">
        <f aca="true" t="shared" si="171" ref="G328:O328">G329+G332</f>
        <v>47.39999999999998</v>
      </c>
      <c r="H328" s="79">
        <f t="shared" si="171"/>
        <v>0</v>
      </c>
      <c r="I328" s="79">
        <f t="shared" si="171"/>
        <v>0</v>
      </c>
      <c r="J328" s="79">
        <f t="shared" si="171"/>
        <v>0</v>
      </c>
      <c r="K328" s="79">
        <f t="shared" si="171"/>
        <v>0</v>
      </c>
      <c r="L328" s="79">
        <f t="shared" si="171"/>
        <v>0</v>
      </c>
      <c r="M328" s="96">
        <f t="shared" si="171"/>
        <v>0</v>
      </c>
      <c r="N328" s="79">
        <f t="shared" si="171"/>
        <v>0</v>
      </c>
      <c r="O328" s="115">
        <f t="shared" si="171"/>
        <v>0</v>
      </c>
      <c r="P328" s="68">
        <f t="shared" si="170"/>
        <v>0</v>
      </c>
      <c r="Q328" s="68">
        <f t="shared" si="170"/>
        <v>0</v>
      </c>
      <c r="R328" s="79">
        <f>R329+R332</f>
        <v>0</v>
      </c>
      <c r="S328" s="79">
        <f>S329+S332</f>
        <v>-452.6</v>
      </c>
      <c r="T328" s="68">
        <f t="shared" si="170"/>
        <v>0</v>
      </c>
    </row>
    <row r="329" spans="1:20" s="25" customFormat="1" ht="25.5">
      <c r="A329" s="17"/>
      <c r="B329" s="5"/>
      <c r="C329" s="66" t="s">
        <v>183</v>
      </c>
      <c r="D329" s="41"/>
      <c r="E329" s="57" t="s">
        <v>185</v>
      </c>
      <c r="F329" s="79">
        <f>F330</f>
        <v>500</v>
      </c>
      <c r="G329" s="79">
        <f t="shared" si="170"/>
        <v>47.39999999999998</v>
      </c>
      <c r="H329" s="68">
        <f t="shared" si="170"/>
        <v>0</v>
      </c>
      <c r="I329" s="68">
        <f t="shared" si="170"/>
        <v>0</v>
      </c>
      <c r="J329" s="68">
        <f t="shared" si="170"/>
        <v>0</v>
      </c>
      <c r="K329" s="68">
        <f t="shared" si="170"/>
        <v>0</v>
      </c>
      <c r="L329" s="68">
        <f t="shared" si="170"/>
        <v>0</v>
      </c>
      <c r="M329" s="70">
        <f t="shared" si="170"/>
        <v>0</v>
      </c>
      <c r="N329" s="68">
        <f t="shared" si="170"/>
        <v>0</v>
      </c>
      <c r="O329" s="51">
        <f t="shared" si="170"/>
        <v>0</v>
      </c>
      <c r="P329" s="68">
        <f t="shared" si="170"/>
        <v>0</v>
      </c>
      <c r="Q329" s="68">
        <f t="shared" si="170"/>
        <v>0</v>
      </c>
      <c r="R329" s="68">
        <f t="shared" si="170"/>
        <v>0</v>
      </c>
      <c r="S329" s="68">
        <f t="shared" si="170"/>
        <v>-452.6</v>
      </c>
      <c r="T329" s="68">
        <f t="shared" si="170"/>
        <v>0</v>
      </c>
    </row>
    <row r="330" spans="1:20" s="25" customFormat="1" ht="25.5">
      <c r="A330" s="17"/>
      <c r="B330" s="5"/>
      <c r="C330" s="106" t="s">
        <v>184</v>
      </c>
      <c r="D330" s="41"/>
      <c r="E330" s="57" t="s">
        <v>153</v>
      </c>
      <c r="F330" s="79">
        <f>F331</f>
        <v>500</v>
      </c>
      <c r="G330" s="79">
        <f t="shared" si="170"/>
        <v>47.39999999999998</v>
      </c>
      <c r="H330" s="68">
        <f t="shared" si="170"/>
        <v>0</v>
      </c>
      <c r="I330" s="68">
        <f t="shared" si="170"/>
        <v>0</v>
      </c>
      <c r="J330" s="68">
        <f t="shared" si="170"/>
        <v>0</v>
      </c>
      <c r="K330" s="68">
        <f t="shared" si="170"/>
        <v>0</v>
      </c>
      <c r="L330" s="68">
        <f t="shared" si="170"/>
        <v>0</v>
      </c>
      <c r="M330" s="70">
        <f t="shared" si="170"/>
        <v>0</v>
      </c>
      <c r="N330" s="68">
        <f t="shared" si="170"/>
        <v>0</v>
      </c>
      <c r="O330" s="51">
        <f t="shared" si="170"/>
        <v>0</v>
      </c>
      <c r="P330" s="68">
        <f t="shared" si="170"/>
        <v>0</v>
      </c>
      <c r="Q330" s="68">
        <f t="shared" si="170"/>
        <v>0</v>
      </c>
      <c r="R330" s="68">
        <f t="shared" si="170"/>
        <v>0</v>
      </c>
      <c r="S330" s="68">
        <f t="shared" si="170"/>
        <v>-452.6</v>
      </c>
      <c r="T330" s="68">
        <f t="shared" si="170"/>
        <v>0</v>
      </c>
    </row>
    <row r="331" spans="1:20" s="25" customFormat="1" ht="25.5">
      <c r="A331" s="17"/>
      <c r="B331" s="5"/>
      <c r="C331" s="66"/>
      <c r="D331" s="41" t="s">
        <v>3</v>
      </c>
      <c r="E331" s="67" t="s">
        <v>95</v>
      </c>
      <c r="F331" s="79">
        <v>500</v>
      </c>
      <c r="G331" s="93">
        <f>F331+SUM(H331:T331)</f>
        <v>47.39999999999998</v>
      </c>
      <c r="H331" s="68"/>
      <c r="I331" s="68"/>
      <c r="J331" s="69"/>
      <c r="K331" s="69"/>
      <c r="L331" s="68"/>
      <c r="M331" s="70"/>
      <c r="N331" s="68"/>
      <c r="O331" s="51"/>
      <c r="P331" s="68"/>
      <c r="Q331" s="68"/>
      <c r="R331" s="68"/>
      <c r="S331" s="68">
        <v>-452.6</v>
      </c>
      <c r="T331" s="68"/>
    </row>
    <row r="332" spans="1:20" s="25" customFormat="1" ht="38.25" hidden="1">
      <c r="A332" s="17"/>
      <c r="B332" s="5"/>
      <c r="C332" s="66" t="s">
        <v>481</v>
      </c>
      <c r="D332" s="41"/>
      <c r="E332" s="67" t="s">
        <v>483</v>
      </c>
      <c r="F332" s="79">
        <f>F333</f>
        <v>0</v>
      </c>
      <c r="G332" s="79">
        <f aca="true" t="shared" si="172" ref="G332:T333">G333</f>
        <v>0</v>
      </c>
      <c r="H332" s="79">
        <f t="shared" si="172"/>
        <v>0</v>
      </c>
      <c r="I332" s="79">
        <f t="shared" si="172"/>
        <v>0</v>
      </c>
      <c r="J332" s="79">
        <f t="shared" si="172"/>
        <v>0</v>
      </c>
      <c r="K332" s="79">
        <f t="shared" si="172"/>
        <v>0</v>
      </c>
      <c r="L332" s="79">
        <f t="shared" si="172"/>
        <v>0</v>
      </c>
      <c r="M332" s="96">
        <f t="shared" si="172"/>
        <v>0</v>
      </c>
      <c r="N332" s="79">
        <f t="shared" si="172"/>
        <v>0</v>
      </c>
      <c r="O332" s="115">
        <f t="shared" si="172"/>
        <v>0</v>
      </c>
      <c r="P332" s="79">
        <f t="shared" si="172"/>
        <v>0</v>
      </c>
      <c r="Q332" s="79">
        <f t="shared" si="172"/>
        <v>0</v>
      </c>
      <c r="R332" s="79">
        <f t="shared" si="172"/>
        <v>0</v>
      </c>
      <c r="S332" s="79">
        <f t="shared" si="172"/>
        <v>0</v>
      </c>
      <c r="T332" s="79">
        <f t="shared" si="172"/>
        <v>0</v>
      </c>
    </row>
    <row r="333" spans="1:20" s="25" customFormat="1" ht="25.5" hidden="1">
      <c r="A333" s="17"/>
      <c r="B333" s="5"/>
      <c r="C333" s="66" t="s">
        <v>482</v>
      </c>
      <c r="D333" s="41"/>
      <c r="E333" s="67" t="s">
        <v>484</v>
      </c>
      <c r="F333" s="79">
        <f>F334</f>
        <v>0</v>
      </c>
      <c r="G333" s="79">
        <f t="shared" si="172"/>
        <v>0</v>
      </c>
      <c r="H333" s="79">
        <f t="shared" si="172"/>
        <v>0</v>
      </c>
      <c r="I333" s="79">
        <f t="shared" si="172"/>
        <v>0</v>
      </c>
      <c r="J333" s="79">
        <f t="shared" si="172"/>
        <v>0</v>
      </c>
      <c r="K333" s="79">
        <f t="shared" si="172"/>
        <v>0</v>
      </c>
      <c r="L333" s="79">
        <f t="shared" si="172"/>
        <v>0</v>
      </c>
      <c r="M333" s="96">
        <f t="shared" si="172"/>
        <v>0</v>
      </c>
      <c r="N333" s="79">
        <f t="shared" si="172"/>
        <v>0</v>
      </c>
      <c r="O333" s="115">
        <f t="shared" si="172"/>
        <v>0</v>
      </c>
      <c r="P333" s="68"/>
      <c r="Q333" s="68"/>
      <c r="R333" s="79">
        <f t="shared" si="172"/>
        <v>0</v>
      </c>
      <c r="S333" s="79">
        <f t="shared" si="172"/>
        <v>0</v>
      </c>
      <c r="T333" s="68"/>
    </row>
    <row r="334" spans="1:20" s="25" customFormat="1" ht="25.5" hidden="1">
      <c r="A334" s="17"/>
      <c r="B334" s="5"/>
      <c r="C334" s="66"/>
      <c r="D334" s="41" t="s">
        <v>3</v>
      </c>
      <c r="E334" s="67" t="s">
        <v>95</v>
      </c>
      <c r="F334" s="79"/>
      <c r="G334" s="93">
        <f>F334+SUM(H334:T334)</f>
        <v>0</v>
      </c>
      <c r="H334" s="68"/>
      <c r="I334" s="68"/>
      <c r="J334" s="69"/>
      <c r="K334" s="69"/>
      <c r="L334" s="68"/>
      <c r="M334" s="70"/>
      <c r="N334" s="68"/>
      <c r="O334" s="51"/>
      <c r="P334" s="68"/>
      <c r="Q334" s="68"/>
      <c r="R334" s="68"/>
      <c r="S334" s="68"/>
      <c r="T334" s="68"/>
    </row>
    <row r="335" spans="1:20" s="25" customFormat="1" ht="12">
      <c r="A335" s="5"/>
      <c r="B335" s="5" t="s">
        <v>58</v>
      </c>
      <c r="C335" s="5"/>
      <c r="D335" s="5"/>
      <c r="E335" s="13" t="s">
        <v>59</v>
      </c>
      <c r="F335" s="119">
        <f aca="true" t="shared" si="173" ref="F335:T335">F336+F355+F413+F379</f>
        <v>63179.6</v>
      </c>
      <c r="G335" s="119">
        <f t="shared" si="173"/>
        <v>101831.1155</v>
      </c>
      <c r="H335" s="119">
        <f t="shared" si="173"/>
        <v>0</v>
      </c>
      <c r="I335" s="119">
        <f t="shared" si="173"/>
        <v>44979.71449</v>
      </c>
      <c r="J335" s="119">
        <f t="shared" si="173"/>
        <v>-9422.29074</v>
      </c>
      <c r="K335" s="119">
        <f t="shared" si="173"/>
        <v>-833.33333</v>
      </c>
      <c r="L335" s="119">
        <f t="shared" si="173"/>
        <v>14990.49416</v>
      </c>
      <c r="M335" s="121">
        <f t="shared" si="173"/>
        <v>53.513200000000005</v>
      </c>
      <c r="N335" s="119">
        <f t="shared" si="173"/>
        <v>-972.2178</v>
      </c>
      <c r="O335" s="185">
        <f t="shared" si="173"/>
        <v>402.93552</v>
      </c>
      <c r="P335" s="119">
        <f t="shared" si="173"/>
        <v>-10689.3</v>
      </c>
      <c r="Q335" s="119">
        <f t="shared" si="173"/>
        <v>142</v>
      </c>
      <c r="R335" s="119">
        <f>R336+R355+R413+R379</f>
        <v>0</v>
      </c>
      <c r="S335" s="119">
        <f>S336+S355+S413+S379</f>
        <v>0</v>
      </c>
      <c r="T335" s="119">
        <f t="shared" si="173"/>
        <v>0</v>
      </c>
    </row>
    <row r="336" spans="1:20" s="25" customFormat="1" ht="12" hidden="1">
      <c r="A336" s="5"/>
      <c r="B336" s="5" t="s">
        <v>64</v>
      </c>
      <c r="C336" s="16"/>
      <c r="D336" s="5"/>
      <c r="E336" s="13" t="s">
        <v>65</v>
      </c>
      <c r="F336" s="119">
        <f>F337+F352+F347</f>
        <v>20789.4</v>
      </c>
      <c r="G336" s="119">
        <f aca="true" t="shared" si="174" ref="G336:T336">G337+G352+G347</f>
        <v>52963.878849999994</v>
      </c>
      <c r="H336" s="119">
        <f t="shared" si="174"/>
        <v>0</v>
      </c>
      <c r="I336" s="119">
        <f t="shared" si="174"/>
        <v>45376.00249</v>
      </c>
      <c r="J336" s="119">
        <f t="shared" si="174"/>
        <v>-7869.9</v>
      </c>
      <c r="K336" s="119">
        <f t="shared" si="174"/>
        <v>0</v>
      </c>
      <c r="L336" s="119">
        <f t="shared" si="174"/>
        <v>1556.49416</v>
      </c>
      <c r="M336" s="121">
        <f t="shared" si="174"/>
        <v>0</v>
      </c>
      <c r="N336" s="119">
        <f t="shared" si="174"/>
        <v>-972.2178</v>
      </c>
      <c r="O336" s="185">
        <f t="shared" si="174"/>
        <v>0</v>
      </c>
      <c r="P336" s="119">
        <f t="shared" si="174"/>
        <v>-5915.9</v>
      </c>
      <c r="Q336" s="119">
        <f t="shared" si="174"/>
        <v>0</v>
      </c>
      <c r="R336" s="119">
        <f>R337+R352+R347</f>
        <v>0</v>
      </c>
      <c r="S336" s="119">
        <f>S337+S352+S347</f>
        <v>0</v>
      </c>
      <c r="T336" s="119">
        <f t="shared" si="174"/>
        <v>0</v>
      </c>
    </row>
    <row r="337" spans="1:20" s="25" customFormat="1" ht="25.5" hidden="1">
      <c r="A337" s="17"/>
      <c r="B337" s="5"/>
      <c r="C337" s="63" t="s">
        <v>324</v>
      </c>
      <c r="D337" s="11"/>
      <c r="E337" s="60" t="s">
        <v>129</v>
      </c>
      <c r="F337" s="94">
        <f>F338</f>
        <v>11299.5</v>
      </c>
      <c r="G337" s="94">
        <f aca="true" t="shared" si="175" ref="G337:T338">G338</f>
        <v>52843.878849999994</v>
      </c>
      <c r="H337" s="71">
        <f aca="true" t="shared" si="176" ref="H337:T337">H338</f>
        <v>0</v>
      </c>
      <c r="I337" s="71">
        <f t="shared" si="176"/>
        <v>46696.00249</v>
      </c>
      <c r="J337" s="71">
        <f t="shared" si="176"/>
        <v>0</v>
      </c>
      <c r="K337" s="71">
        <f t="shared" si="176"/>
        <v>0</v>
      </c>
      <c r="L337" s="71">
        <f t="shared" si="176"/>
        <v>1556.49416</v>
      </c>
      <c r="M337" s="156">
        <f t="shared" si="176"/>
        <v>0</v>
      </c>
      <c r="N337" s="71">
        <f t="shared" si="176"/>
        <v>-972.2178</v>
      </c>
      <c r="O337" s="190">
        <f t="shared" si="176"/>
        <v>0</v>
      </c>
      <c r="P337" s="71">
        <f t="shared" si="176"/>
        <v>-5735.9</v>
      </c>
      <c r="Q337" s="71">
        <f t="shared" si="176"/>
        <v>0</v>
      </c>
      <c r="R337" s="71">
        <f t="shared" si="176"/>
        <v>0</v>
      </c>
      <c r="S337" s="71">
        <f t="shared" si="176"/>
        <v>0</v>
      </c>
      <c r="T337" s="71">
        <f t="shared" si="176"/>
        <v>0</v>
      </c>
    </row>
    <row r="338" spans="1:20" s="25" customFormat="1" ht="25.5" hidden="1">
      <c r="A338" s="17"/>
      <c r="B338" s="5"/>
      <c r="C338" s="82" t="s">
        <v>328</v>
      </c>
      <c r="D338" s="41"/>
      <c r="E338" s="61" t="s">
        <v>131</v>
      </c>
      <c r="F338" s="79">
        <f>F339</f>
        <v>11299.5</v>
      </c>
      <c r="G338" s="79">
        <f t="shared" si="175"/>
        <v>52843.878849999994</v>
      </c>
      <c r="H338" s="68">
        <f t="shared" si="175"/>
        <v>0</v>
      </c>
      <c r="I338" s="68">
        <f t="shared" si="175"/>
        <v>46696.00249</v>
      </c>
      <c r="J338" s="68">
        <f t="shared" si="175"/>
        <v>0</v>
      </c>
      <c r="K338" s="68">
        <f t="shared" si="175"/>
        <v>0</v>
      </c>
      <c r="L338" s="68">
        <f t="shared" si="175"/>
        <v>1556.49416</v>
      </c>
      <c r="M338" s="70">
        <f t="shared" si="175"/>
        <v>0</v>
      </c>
      <c r="N338" s="68">
        <f t="shared" si="175"/>
        <v>-972.2178</v>
      </c>
      <c r="O338" s="51">
        <f t="shared" si="175"/>
        <v>0</v>
      </c>
      <c r="P338" s="68">
        <f t="shared" si="175"/>
        <v>-5735.9</v>
      </c>
      <c r="Q338" s="68">
        <f t="shared" si="175"/>
        <v>0</v>
      </c>
      <c r="R338" s="68">
        <f t="shared" si="175"/>
        <v>0</v>
      </c>
      <c r="S338" s="68">
        <f t="shared" si="175"/>
        <v>0</v>
      </c>
      <c r="T338" s="68">
        <f t="shared" si="175"/>
        <v>0</v>
      </c>
    </row>
    <row r="339" spans="1:20" s="25" customFormat="1" ht="24" hidden="1">
      <c r="A339" s="17"/>
      <c r="B339" s="5"/>
      <c r="C339" s="66" t="s">
        <v>329</v>
      </c>
      <c r="D339" s="41"/>
      <c r="E339" s="100" t="s">
        <v>332</v>
      </c>
      <c r="F339" s="79">
        <f>F344+F340+F342</f>
        <v>11299.5</v>
      </c>
      <c r="G339" s="79">
        <f aca="true" t="shared" si="177" ref="G339:T339">G344+G340+G342</f>
        <v>52843.878849999994</v>
      </c>
      <c r="H339" s="79">
        <f t="shared" si="177"/>
        <v>0</v>
      </c>
      <c r="I339" s="79">
        <f t="shared" si="177"/>
        <v>46696.00249</v>
      </c>
      <c r="J339" s="79">
        <f t="shared" si="177"/>
        <v>0</v>
      </c>
      <c r="K339" s="79">
        <f t="shared" si="177"/>
        <v>0</v>
      </c>
      <c r="L339" s="79">
        <f t="shared" si="177"/>
        <v>1556.49416</v>
      </c>
      <c r="M339" s="96">
        <f t="shared" si="177"/>
        <v>0</v>
      </c>
      <c r="N339" s="79">
        <f t="shared" si="177"/>
        <v>-972.2178</v>
      </c>
      <c r="O339" s="115">
        <f t="shared" si="177"/>
        <v>0</v>
      </c>
      <c r="P339" s="79">
        <f t="shared" si="177"/>
        <v>-5735.9</v>
      </c>
      <c r="Q339" s="79">
        <f t="shared" si="177"/>
        <v>0</v>
      </c>
      <c r="R339" s="79">
        <f>R344+R340+R342</f>
        <v>0</v>
      </c>
      <c r="S339" s="79">
        <f>S344+S340+S342</f>
        <v>0</v>
      </c>
      <c r="T339" s="79">
        <f t="shared" si="177"/>
        <v>0</v>
      </c>
    </row>
    <row r="340" spans="1:20" s="25" customFormat="1" ht="48" hidden="1">
      <c r="A340" s="17"/>
      <c r="B340" s="5"/>
      <c r="C340" s="66" t="s">
        <v>449</v>
      </c>
      <c r="D340" s="41"/>
      <c r="E340" s="100" t="s">
        <v>450</v>
      </c>
      <c r="F340" s="79">
        <f>F341</f>
        <v>0</v>
      </c>
      <c r="G340" s="79">
        <f aca="true" t="shared" si="178" ref="G340:T340">G341</f>
        <v>25736.6774</v>
      </c>
      <c r="H340" s="79">
        <f t="shared" si="178"/>
        <v>0</v>
      </c>
      <c r="I340" s="79">
        <f t="shared" si="178"/>
        <v>26708.8952</v>
      </c>
      <c r="J340" s="79">
        <f t="shared" si="178"/>
        <v>0</v>
      </c>
      <c r="K340" s="79">
        <f t="shared" si="178"/>
        <v>0</v>
      </c>
      <c r="L340" s="79">
        <f t="shared" si="178"/>
        <v>0</v>
      </c>
      <c r="M340" s="96">
        <f t="shared" si="178"/>
        <v>0</v>
      </c>
      <c r="N340" s="79">
        <f t="shared" si="178"/>
        <v>-972.2178</v>
      </c>
      <c r="O340" s="115">
        <f t="shared" si="178"/>
        <v>0</v>
      </c>
      <c r="P340" s="79">
        <f t="shared" si="178"/>
        <v>0</v>
      </c>
      <c r="Q340" s="79">
        <f t="shared" si="178"/>
        <v>0</v>
      </c>
      <c r="R340" s="79">
        <f t="shared" si="178"/>
        <v>0</v>
      </c>
      <c r="S340" s="79">
        <f t="shared" si="178"/>
        <v>0</v>
      </c>
      <c r="T340" s="79">
        <f t="shared" si="178"/>
        <v>0</v>
      </c>
    </row>
    <row r="341" spans="1:20" s="25" customFormat="1" ht="38.25" hidden="1">
      <c r="A341" s="17"/>
      <c r="B341" s="5"/>
      <c r="C341" s="66"/>
      <c r="D341" s="41" t="s">
        <v>10</v>
      </c>
      <c r="E341" s="75" t="s">
        <v>99</v>
      </c>
      <c r="F341" s="79"/>
      <c r="G341" s="93">
        <f>F341+SUM(H341:T341)</f>
        <v>25736.6774</v>
      </c>
      <c r="H341" s="68"/>
      <c r="I341" s="68">
        <v>26708.8952</v>
      </c>
      <c r="J341" s="68"/>
      <c r="K341" s="68"/>
      <c r="L341" s="68"/>
      <c r="M341" s="70"/>
      <c r="N341" s="68">
        <v>-972.2178</v>
      </c>
      <c r="O341" s="51"/>
      <c r="P341" s="68"/>
      <c r="Q341" s="68"/>
      <c r="R341" s="68"/>
      <c r="S341" s="68"/>
      <c r="T341" s="68"/>
    </row>
    <row r="342" spans="1:20" s="25" customFormat="1" ht="48" hidden="1">
      <c r="A342" s="17"/>
      <c r="B342" s="5"/>
      <c r="C342" s="66" t="s">
        <v>330</v>
      </c>
      <c r="D342" s="41"/>
      <c r="E342" s="100" t="s">
        <v>450</v>
      </c>
      <c r="F342" s="79">
        <f>F343</f>
        <v>0</v>
      </c>
      <c r="G342" s="79">
        <f aca="true" t="shared" si="179" ref="G342:T342">G343</f>
        <v>21543.60145</v>
      </c>
      <c r="H342" s="79">
        <f t="shared" si="179"/>
        <v>0</v>
      </c>
      <c r="I342" s="79">
        <f t="shared" si="179"/>
        <v>19987.10729</v>
      </c>
      <c r="J342" s="79">
        <f t="shared" si="179"/>
        <v>0</v>
      </c>
      <c r="K342" s="79">
        <f t="shared" si="179"/>
        <v>0</v>
      </c>
      <c r="L342" s="79">
        <f t="shared" si="179"/>
        <v>1556.49416</v>
      </c>
      <c r="M342" s="96">
        <f t="shared" si="179"/>
        <v>0</v>
      </c>
      <c r="N342" s="79">
        <f t="shared" si="179"/>
        <v>0</v>
      </c>
      <c r="O342" s="115">
        <f t="shared" si="179"/>
        <v>0</v>
      </c>
      <c r="P342" s="79">
        <f t="shared" si="179"/>
        <v>0</v>
      </c>
      <c r="Q342" s="79">
        <f t="shared" si="179"/>
        <v>0</v>
      </c>
      <c r="R342" s="79">
        <f t="shared" si="179"/>
        <v>0</v>
      </c>
      <c r="S342" s="79">
        <f t="shared" si="179"/>
        <v>0</v>
      </c>
      <c r="T342" s="79">
        <f t="shared" si="179"/>
        <v>0</v>
      </c>
    </row>
    <row r="343" spans="1:20" s="25" customFormat="1" ht="38.25" hidden="1">
      <c r="A343" s="17"/>
      <c r="B343" s="5"/>
      <c r="C343" s="66"/>
      <c r="D343" s="41" t="s">
        <v>10</v>
      </c>
      <c r="E343" s="75" t="s">
        <v>99</v>
      </c>
      <c r="F343" s="79"/>
      <c r="G343" s="93">
        <f>F343+SUM(H343:T343)</f>
        <v>21543.60145</v>
      </c>
      <c r="H343" s="68"/>
      <c r="I343" s="68">
        <v>19987.10729</v>
      </c>
      <c r="J343" s="68"/>
      <c r="K343" s="68"/>
      <c r="L343" s="68">
        <v>1556.49416</v>
      </c>
      <c r="M343" s="70"/>
      <c r="N343" s="68"/>
      <c r="O343" s="51"/>
      <c r="P343" s="68"/>
      <c r="Q343" s="68"/>
      <c r="R343" s="68"/>
      <c r="S343" s="68"/>
      <c r="T343" s="68"/>
    </row>
    <row r="344" spans="1:20" s="25" customFormat="1" ht="48" hidden="1">
      <c r="A344" s="17"/>
      <c r="B344" s="5"/>
      <c r="C344" s="66" t="s">
        <v>437</v>
      </c>
      <c r="D344" s="41"/>
      <c r="E344" s="100" t="s">
        <v>450</v>
      </c>
      <c r="F344" s="79">
        <f>F345+F346</f>
        <v>11299.5</v>
      </c>
      <c r="G344" s="79">
        <f aca="true" t="shared" si="180" ref="G344:T344">G345+G346</f>
        <v>5563.6</v>
      </c>
      <c r="H344" s="68">
        <f t="shared" si="180"/>
        <v>0</v>
      </c>
      <c r="I344" s="68">
        <f t="shared" si="180"/>
        <v>0</v>
      </c>
      <c r="J344" s="68">
        <f t="shared" si="180"/>
        <v>0</v>
      </c>
      <c r="K344" s="68">
        <f t="shared" si="180"/>
        <v>0</v>
      </c>
      <c r="L344" s="68">
        <f t="shared" si="180"/>
        <v>0</v>
      </c>
      <c r="M344" s="70">
        <f t="shared" si="180"/>
        <v>0</v>
      </c>
      <c r="N344" s="68">
        <f t="shared" si="180"/>
        <v>0</v>
      </c>
      <c r="O344" s="51">
        <f t="shared" si="180"/>
        <v>0</v>
      </c>
      <c r="P344" s="68">
        <f t="shared" si="180"/>
        <v>-5735.9</v>
      </c>
      <c r="Q344" s="68">
        <f t="shared" si="180"/>
        <v>0</v>
      </c>
      <c r="R344" s="68">
        <f>R345+R346</f>
        <v>0</v>
      </c>
      <c r="S344" s="68">
        <f>S345+S346</f>
        <v>0</v>
      </c>
      <c r="T344" s="68">
        <f t="shared" si="180"/>
        <v>0</v>
      </c>
    </row>
    <row r="345" spans="1:20" s="25" customFormat="1" ht="12.75" hidden="1">
      <c r="A345" s="17"/>
      <c r="B345" s="5"/>
      <c r="C345" s="66"/>
      <c r="D345" s="41" t="s">
        <v>6</v>
      </c>
      <c r="E345" s="67" t="s">
        <v>7</v>
      </c>
      <c r="F345" s="79">
        <v>0</v>
      </c>
      <c r="G345" s="93">
        <f>F345+SUM(H345:T345)</f>
        <v>0</v>
      </c>
      <c r="H345" s="68"/>
      <c r="I345" s="68"/>
      <c r="J345" s="68"/>
      <c r="K345" s="68"/>
      <c r="L345" s="68"/>
      <c r="M345" s="70"/>
      <c r="N345" s="68"/>
      <c r="O345" s="51"/>
      <c r="P345" s="68"/>
      <c r="Q345" s="68"/>
      <c r="R345" s="68"/>
      <c r="S345" s="68"/>
      <c r="T345" s="68"/>
    </row>
    <row r="346" spans="1:20" s="25" customFormat="1" ht="38.25" hidden="1">
      <c r="A346" s="17"/>
      <c r="B346" s="5"/>
      <c r="C346" s="82"/>
      <c r="D346" s="41" t="s">
        <v>10</v>
      </c>
      <c r="E346" s="75" t="s">
        <v>99</v>
      </c>
      <c r="F346" s="79">
        <v>11299.5</v>
      </c>
      <c r="G346" s="93">
        <f>F346+SUM(H346:T346)</f>
        <v>5563.6</v>
      </c>
      <c r="H346" s="68"/>
      <c r="I346" s="68"/>
      <c r="J346" s="68"/>
      <c r="K346" s="68"/>
      <c r="L346" s="68"/>
      <c r="M346" s="70"/>
      <c r="N346" s="68"/>
      <c r="O346" s="51"/>
      <c r="P346" s="68">
        <v>-5735.9</v>
      </c>
      <c r="Q346" s="68"/>
      <c r="R346" s="68"/>
      <c r="S346" s="68"/>
      <c r="T346" s="68"/>
    </row>
    <row r="347" spans="1:20" s="24" customFormat="1" ht="38.25" hidden="1">
      <c r="A347" s="17"/>
      <c r="B347" s="17"/>
      <c r="C347" s="63" t="s">
        <v>372</v>
      </c>
      <c r="D347" s="11"/>
      <c r="E347" s="84" t="s">
        <v>137</v>
      </c>
      <c r="F347" s="95">
        <f>F348</f>
        <v>300</v>
      </c>
      <c r="G347" s="95">
        <f aca="true" t="shared" si="181" ref="G347:T350">G348</f>
        <v>120</v>
      </c>
      <c r="H347" s="73">
        <f t="shared" si="181"/>
        <v>0</v>
      </c>
      <c r="I347" s="73">
        <f t="shared" si="181"/>
        <v>0</v>
      </c>
      <c r="J347" s="73">
        <f t="shared" si="181"/>
        <v>0</v>
      </c>
      <c r="K347" s="73">
        <f t="shared" si="181"/>
        <v>0</v>
      </c>
      <c r="L347" s="73">
        <f t="shared" si="181"/>
        <v>0</v>
      </c>
      <c r="M347" s="77">
        <f t="shared" si="181"/>
        <v>0</v>
      </c>
      <c r="N347" s="73">
        <f t="shared" si="181"/>
        <v>0</v>
      </c>
      <c r="O347" s="50">
        <f t="shared" si="181"/>
        <v>0</v>
      </c>
      <c r="P347" s="73">
        <f t="shared" si="181"/>
        <v>-180</v>
      </c>
      <c r="Q347" s="73">
        <f t="shared" si="181"/>
        <v>0</v>
      </c>
      <c r="R347" s="73">
        <f t="shared" si="181"/>
        <v>0</v>
      </c>
      <c r="S347" s="73">
        <f t="shared" si="181"/>
        <v>0</v>
      </c>
      <c r="T347" s="73">
        <f t="shared" si="181"/>
        <v>0</v>
      </c>
    </row>
    <row r="348" spans="1:20" s="24" customFormat="1" ht="25.5" hidden="1">
      <c r="A348" s="17"/>
      <c r="B348" s="17"/>
      <c r="C348" s="82" t="s">
        <v>388</v>
      </c>
      <c r="D348" s="41"/>
      <c r="E348" s="85" t="s">
        <v>139</v>
      </c>
      <c r="F348" s="93">
        <f>F349</f>
        <v>300</v>
      </c>
      <c r="G348" s="93">
        <f t="shared" si="181"/>
        <v>120</v>
      </c>
      <c r="H348" s="64">
        <f t="shared" si="181"/>
        <v>0</v>
      </c>
      <c r="I348" s="64">
        <f t="shared" si="181"/>
        <v>0</v>
      </c>
      <c r="J348" s="64">
        <f t="shared" si="181"/>
        <v>0</v>
      </c>
      <c r="K348" s="64">
        <f t="shared" si="181"/>
        <v>0</v>
      </c>
      <c r="L348" s="64">
        <f t="shared" si="181"/>
        <v>0</v>
      </c>
      <c r="M348" s="78">
        <f t="shared" si="181"/>
        <v>0</v>
      </c>
      <c r="N348" s="64">
        <f t="shared" si="181"/>
        <v>0</v>
      </c>
      <c r="O348" s="191">
        <f t="shared" si="181"/>
        <v>0</v>
      </c>
      <c r="P348" s="64">
        <f t="shared" si="181"/>
        <v>-180</v>
      </c>
      <c r="Q348" s="64">
        <f t="shared" si="181"/>
        <v>0</v>
      </c>
      <c r="R348" s="64">
        <f t="shared" si="181"/>
        <v>0</v>
      </c>
      <c r="S348" s="64">
        <f t="shared" si="181"/>
        <v>0</v>
      </c>
      <c r="T348" s="64">
        <f t="shared" si="181"/>
        <v>0</v>
      </c>
    </row>
    <row r="349" spans="1:20" s="24" customFormat="1" ht="25.5" hidden="1">
      <c r="A349" s="17"/>
      <c r="B349" s="17"/>
      <c r="C349" s="66" t="s">
        <v>389</v>
      </c>
      <c r="D349" s="41"/>
      <c r="E349" s="83" t="s">
        <v>391</v>
      </c>
      <c r="F349" s="93">
        <f>F350</f>
        <v>300</v>
      </c>
      <c r="G349" s="93">
        <f t="shared" si="181"/>
        <v>120</v>
      </c>
      <c r="H349" s="64">
        <f t="shared" si="181"/>
        <v>0</v>
      </c>
      <c r="I349" s="64">
        <f t="shared" si="181"/>
        <v>0</v>
      </c>
      <c r="J349" s="64">
        <f t="shared" si="181"/>
        <v>0</v>
      </c>
      <c r="K349" s="64">
        <f t="shared" si="181"/>
        <v>0</v>
      </c>
      <c r="L349" s="64">
        <f t="shared" si="181"/>
        <v>0</v>
      </c>
      <c r="M349" s="78">
        <f t="shared" si="181"/>
        <v>0</v>
      </c>
      <c r="N349" s="64">
        <f t="shared" si="181"/>
        <v>0</v>
      </c>
      <c r="O349" s="191">
        <f t="shared" si="181"/>
        <v>0</v>
      </c>
      <c r="P349" s="64">
        <f t="shared" si="181"/>
        <v>-180</v>
      </c>
      <c r="Q349" s="64">
        <f t="shared" si="181"/>
        <v>0</v>
      </c>
      <c r="R349" s="64">
        <f t="shared" si="181"/>
        <v>0</v>
      </c>
      <c r="S349" s="64">
        <f t="shared" si="181"/>
        <v>0</v>
      </c>
      <c r="T349" s="64">
        <f t="shared" si="181"/>
        <v>0</v>
      </c>
    </row>
    <row r="350" spans="1:20" s="24" customFormat="1" ht="12.75" hidden="1">
      <c r="A350" s="17"/>
      <c r="B350" s="17"/>
      <c r="C350" s="66" t="s">
        <v>390</v>
      </c>
      <c r="D350" s="41"/>
      <c r="E350" s="83" t="s">
        <v>392</v>
      </c>
      <c r="F350" s="93">
        <f>F351</f>
        <v>300</v>
      </c>
      <c r="G350" s="93">
        <f t="shared" si="181"/>
        <v>120</v>
      </c>
      <c r="H350" s="64">
        <f t="shared" si="181"/>
        <v>0</v>
      </c>
      <c r="I350" s="64">
        <f t="shared" si="181"/>
        <v>0</v>
      </c>
      <c r="J350" s="64">
        <f t="shared" si="181"/>
        <v>0</v>
      </c>
      <c r="K350" s="64">
        <f t="shared" si="181"/>
        <v>0</v>
      </c>
      <c r="L350" s="64">
        <f t="shared" si="181"/>
        <v>0</v>
      </c>
      <c r="M350" s="78">
        <f t="shared" si="181"/>
        <v>0</v>
      </c>
      <c r="N350" s="64">
        <f t="shared" si="181"/>
        <v>0</v>
      </c>
      <c r="O350" s="191">
        <f t="shared" si="181"/>
        <v>0</v>
      </c>
      <c r="P350" s="64">
        <f t="shared" si="181"/>
        <v>-180</v>
      </c>
      <c r="Q350" s="64">
        <f t="shared" si="181"/>
        <v>0</v>
      </c>
      <c r="R350" s="64">
        <f t="shared" si="181"/>
        <v>0</v>
      </c>
      <c r="S350" s="64">
        <f t="shared" si="181"/>
        <v>0</v>
      </c>
      <c r="T350" s="64">
        <f t="shared" si="181"/>
        <v>0</v>
      </c>
    </row>
    <row r="351" spans="1:20" s="24" customFormat="1" ht="25.5" hidden="1">
      <c r="A351" s="17"/>
      <c r="B351" s="17"/>
      <c r="C351" s="66"/>
      <c r="D351" s="41" t="s">
        <v>3</v>
      </c>
      <c r="E351" s="67" t="s">
        <v>95</v>
      </c>
      <c r="F351" s="79">
        <v>300</v>
      </c>
      <c r="G351" s="93">
        <f>F351+SUM(H351:T351)</f>
        <v>120</v>
      </c>
      <c r="H351" s="64"/>
      <c r="I351" s="64"/>
      <c r="J351" s="65"/>
      <c r="K351" s="65"/>
      <c r="L351" s="64"/>
      <c r="M351" s="78"/>
      <c r="N351" s="64"/>
      <c r="O351" s="191"/>
      <c r="P351" s="64">
        <v>-180</v>
      </c>
      <c r="Q351" s="64"/>
      <c r="R351" s="64"/>
      <c r="S351" s="64"/>
      <c r="T351" s="64"/>
    </row>
    <row r="352" spans="1:20" s="25" customFormat="1" ht="25.5" hidden="1">
      <c r="A352" s="17"/>
      <c r="B352" s="5"/>
      <c r="C352" s="63" t="s">
        <v>425</v>
      </c>
      <c r="D352" s="11"/>
      <c r="E352" s="84" t="s">
        <v>143</v>
      </c>
      <c r="F352" s="95">
        <f>F353</f>
        <v>9189.9</v>
      </c>
      <c r="G352" s="95">
        <f aca="true" t="shared" si="182" ref="G352:T353">G353</f>
        <v>0</v>
      </c>
      <c r="H352" s="73">
        <f t="shared" si="182"/>
        <v>0</v>
      </c>
      <c r="I352" s="73">
        <f t="shared" si="182"/>
        <v>-1320</v>
      </c>
      <c r="J352" s="73">
        <f t="shared" si="182"/>
        <v>-7869.9</v>
      </c>
      <c r="K352" s="73">
        <f t="shared" si="182"/>
        <v>0</v>
      </c>
      <c r="L352" s="73">
        <f t="shared" si="182"/>
        <v>0</v>
      </c>
      <c r="M352" s="77">
        <f t="shared" si="182"/>
        <v>0</v>
      </c>
      <c r="N352" s="73">
        <f t="shared" si="182"/>
        <v>0</v>
      </c>
      <c r="O352" s="50">
        <f t="shared" si="182"/>
        <v>0</v>
      </c>
      <c r="P352" s="73">
        <f t="shared" si="182"/>
        <v>0</v>
      </c>
      <c r="Q352" s="73">
        <f t="shared" si="182"/>
        <v>0</v>
      </c>
      <c r="R352" s="73">
        <f t="shared" si="182"/>
        <v>0</v>
      </c>
      <c r="S352" s="73">
        <f t="shared" si="182"/>
        <v>0</v>
      </c>
      <c r="T352" s="73">
        <f t="shared" si="182"/>
        <v>0</v>
      </c>
    </row>
    <row r="353" spans="1:20" s="25" customFormat="1" ht="38.25" hidden="1">
      <c r="A353" s="17"/>
      <c r="B353" s="5"/>
      <c r="C353" s="66" t="s">
        <v>426</v>
      </c>
      <c r="D353" s="41"/>
      <c r="E353" s="57" t="s">
        <v>479</v>
      </c>
      <c r="F353" s="79">
        <f>F354</f>
        <v>9189.9</v>
      </c>
      <c r="G353" s="79">
        <f t="shared" si="182"/>
        <v>0</v>
      </c>
      <c r="H353" s="68">
        <f t="shared" si="182"/>
        <v>0</v>
      </c>
      <c r="I353" s="68">
        <f t="shared" si="182"/>
        <v>-1320</v>
      </c>
      <c r="J353" s="68">
        <f t="shared" si="182"/>
        <v>-7869.9</v>
      </c>
      <c r="K353" s="68">
        <f t="shared" si="182"/>
        <v>0</v>
      </c>
      <c r="L353" s="68">
        <f t="shared" si="182"/>
        <v>0</v>
      </c>
      <c r="M353" s="70">
        <f t="shared" si="182"/>
        <v>0</v>
      </c>
      <c r="N353" s="68">
        <f t="shared" si="182"/>
        <v>0</v>
      </c>
      <c r="O353" s="51">
        <f t="shared" si="182"/>
        <v>0</v>
      </c>
      <c r="P353" s="68">
        <f t="shared" si="182"/>
        <v>0</v>
      </c>
      <c r="Q353" s="68">
        <f t="shared" si="182"/>
        <v>0</v>
      </c>
      <c r="R353" s="68">
        <f t="shared" si="182"/>
        <v>0</v>
      </c>
      <c r="S353" s="68">
        <f t="shared" si="182"/>
        <v>0</v>
      </c>
      <c r="T353" s="68">
        <f t="shared" si="182"/>
        <v>0</v>
      </c>
    </row>
    <row r="354" spans="1:20" s="25" customFormat="1" ht="38.25" hidden="1">
      <c r="A354" s="17"/>
      <c r="B354" s="5"/>
      <c r="C354" s="56"/>
      <c r="D354" s="86" t="s">
        <v>10</v>
      </c>
      <c r="E354" s="75" t="s">
        <v>99</v>
      </c>
      <c r="F354" s="79">
        <v>9189.9</v>
      </c>
      <c r="G354" s="93">
        <f>F354+SUM(H354:T354)</f>
        <v>0</v>
      </c>
      <c r="H354" s="68"/>
      <c r="I354" s="68">
        <v>-1320</v>
      </c>
      <c r="J354" s="68">
        <v>-7869.9</v>
      </c>
      <c r="K354" s="68"/>
      <c r="L354" s="68"/>
      <c r="M354" s="70"/>
      <c r="N354" s="68"/>
      <c r="O354" s="51"/>
      <c r="P354" s="68"/>
      <c r="Q354" s="68"/>
      <c r="R354" s="68"/>
      <c r="S354" s="68"/>
      <c r="T354" s="68"/>
    </row>
    <row r="355" spans="1:20" s="25" customFormat="1" ht="12.75" hidden="1">
      <c r="A355" s="41"/>
      <c r="B355" s="11" t="s">
        <v>60</v>
      </c>
      <c r="C355" s="66"/>
      <c r="D355" s="41"/>
      <c r="E355" s="113" t="s">
        <v>61</v>
      </c>
      <c r="F355" s="95">
        <f>F376+F356+F371</f>
        <v>5091.6</v>
      </c>
      <c r="G355" s="95">
        <f aca="true" t="shared" si="183" ref="G355:T355">G376+G356+G371</f>
        <v>1412.4099999999999</v>
      </c>
      <c r="H355" s="95">
        <f t="shared" si="183"/>
        <v>0</v>
      </c>
      <c r="I355" s="95">
        <f t="shared" si="183"/>
        <v>531.24</v>
      </c>
      <c r="J355" s="95">
        <f t="shared" si="183"/>
        <v>0</v>
      </c>
      <c r="K355" s="95">
        <f t="shared" si="183"/>
        <v>0</v>
      </c>
      <c r="L355" s="95">
        <f t="shared" si="183"/>
        <v>0</v>
      </c>
      <c r="M355" s="131">
        <f t="shared" si="183"/>
        <v>0</v>
      </c>
      <c r="N355" s="95">
        <f t="shared" si="183"/>
        <v>0</v>
      </c>
      <c r="O355" s="184">
        <f t="shared" si="183"/>
        <v>602.97</v>
      </c>
      <c r="P355" s="95">
        <f t="shared" si="183"/>
        <v>-4813.4</v>
      </c>
      <c r="Q355" s="95">
        <f t="shared" si="183"/>
        <v>0</v>
      </c>
      <c r="R355" s="95">
        <f>R376+R356+R371</f>
        <v>0</v>
      </c>
      <c r="S355" s="95">
        <f>S376+S356+S371</f>
        <v>0</v>
      </c>
      <c r="T355" s="95">
        <f t="shared" si="183"/>
        <v>0</v>
      </c>
    </row>
    <row r="356" spans="1:20" s="24" customFormat="1" ht="51" hidden="1">
      <c r="A356" s="5"/>
      <c r="B356" s="5"/>
      <c r="C356" s="63" t="s">
        <v>339</v>
      </c>
      <c r="D356" s="11"/>
      <c r="E356" s="84" t="s">
        <v>133</v>
      </c>
      <c r="F356" s="95">
        <f>F357+F367</f>
        <v>4791.6</v>
      </c>
      <c r="G356" s="95">
        <f aca="true" t="shared" si="184" ref="G356:T356">G357+G367</f>
        <v>195.0999999999999</v>
      </c>
      <c r="H356" s="95">
        <f t="shared" si="184"/>
        <v>0</v>
      </c>
      <c r="I356" s="95">
        <f t="shared" si="184"/>
        <v>0</v>
      </c>
      <c r="J356" s="95">
        <f t="shared" si="184"/>
        <v>0</v>
      </c>
      <c r="K356" s="95">
        <f t="shared" si="184"/>
        <v>0</v>
      </c>
      <c r="L356" s="95">
        <f t="shared" si="184"/>
        <v>0</v>
      </c>
      <c r="M356" s="131">
        <f t="shared" si="184"/>
        <v>0</v>
      </c>
      <c r="N356" s="95">
        <f t="shared" si="184"/>
        <v>0</v>
      </c>
      <c r="O356" s="184">
        <f t="shared" si="184"/>
        <v>0</v>
      </c>
      <c r="P356" s="95">
        <f t="shared" si="184"/>
        <v>-4596.5</v>
      </c>
      <c r="Q356" s="95">
        <f t="shared" si="184"/>
        <v>0</v>
      </c>
      <c r="R356" s="95">
        <f>R357+R367</f>
        <v>0</v>
      </c>
      <c r="S356" s="95">
        <f>S357+S367</f>
        <v>0</v>
      </c>
      <c r="T356" s="95">
        <f t="shared" si="184"/>
        <v>0</v>
      </c>
    </row>
    <row r="357" spans="1:20" s="24" customFormat="1" ht="27.75" customHeight="1" hidden="1">
      <c r="A357" s="5"/>
      <c r="B357" s="5"/>
      <c r="C357" s="82" t="s">
        <v>340</v>
      </c>
      <c r="D357" s="41"/>
      <c r="E357" s="85" t="s">
        <v>134</v>
      </c>
      <c r="F357" s="79">
        <f>F358+F361+F364</f>
        <v>3200</v>
      </c>
      <c r="G357" s="79">
        <f aca="true" t="shared" si="185" ref="G357:T357">G358+G361+G364</f>
        <v>195.0999999999999</v>
      </c>
      <c r="H357" s="79">
        <f t="shared" si="185"/>
        <v>0</v>
      </c>
      <c r="I357" s="79">
        <f t="shared" si="185"/>
        <v>0</v>
      </c>
      <c r="J357" s="79">
        <f t="shared" si="185"/>
        <v>0</v>
      </c>
      <c r="K357" s="79">
        <f t="shared" si="185"/>
        <v>0</v>
      </c>
      <c r="L357" s="79">
        <f t="shared" si="185"/>
        <v>0</v>
      </c>
      <c r="M357" s="96">
        <f t="shared" si="185"/>
        <v>0</v>
      </c>
      <c r="N357" s="79">
        <f t="shared" si="185"/>
        <v>0</v>
      </c>
      <c r="O357" s="115">
        <f t="shared" si="185"/>
        <v>0</v>
      </c>
      <c r="P357" s="79">
        <f t="shared" si="185"/>
        <v>-3004.9</v>
      </c>
      <c r="Q357" s="79">
        <f t="shared" si="185"/>
        <v>0</v>
      </c>
      <c r="R357" s="79">
        <f>R358+R361+R364</f>
        <v>0</v>
      </c>
      <c r="S357" s="79">
        <f>S358+S361+S364</f>
        <v>0</v>
      </c>
      <c r="T357" s="79">
        <f t="shared" si="185"/>
        <v>0</v>
      </c>
    </row>
    <row r="358" spans="1:20" s="24" customFormat="1" ht="77.25" customHeight="1" hidden="1">
      <c r="A358" s="17"/>
      <c r="B358" s="17"/>
      <c r="C358" s="66" t="s">
        <v>341</v>
      </c>
      <c r="D358" s="41"/>
      <c r="E358" s="83" t="s">
        <v>343</v>
      </c>
      <c r="F358" s="79">
        <f>F359</f>
        <v>0</v>
      </c>
      <c r="G358" s="79">
        <f aca="true" t="shared" si="186" ref="G358:T359">G359</f>
        <v>0</v>
      </c>
      <c r="H358" s="79">
        <f t="shared" si="186"/>
        <v>0</v>
      </c>
      <c r="I358" s="79">
        <f t="shared" si="186"/>
        <v>0</v>
      </c>
      <c r="J358" s="79">
        <f t="shared" si="186"/>
        <v>0</v>
      </c>
      <c r="K358" s="79">
        <f t="shared" si="186"/>
        <v>0</v>
      </c>
      <c r="L358" s="79">
        <f t="shared" si="186"/>
        <v>0</v>
      </c>
      <c r="M358" s="96">
        <f t="shared" si="186"/>
        <v>0</v>
      </c>
      <c r="N358" s="79">
        <f t="shared" si="186"/>
        <v>0</v>
      </c>
      <c r="O358" s="115">
        <f t="shared" si="186"/>
        <v>0</v>
      </c>
      <c r="P358" s="79">
        <f t="shared" si="186"/>
        <v>0</v>
      </c>
      <c r="Q358" s="79">
        <f t="shared" si="186"/>
        <v>0</v>
      </c>
      <c r="R358" s="79">
        <f t="shared" si="186"/>
        <v>0</v>
      </c>
      <c r="S358" s="79">
        <f t="shared" si="186"/>
        <v>0</v>
      </c>
      <c r="T358" s="79">
        <f t="shared" si="186"/>
        <v>0</v>
      </c>
    </row>
    <row r="359" spans="1:20" s="24" customFormat="1" ht="42" customHeight="1" hidden="1">
      <c r="A359" s="5"/>
      <c r="B359" s="5"/>
      <c r="C359" s="66" t="s">
        <v>342</v>
      </c>
      <c r="D359" s="41"/>
      <c r="E359" s="83" t="s">
        <v>344</v>
      </c>
      <c r="F359" s="79">
        <f>F360</f>
        <v>0</v>
      </c>
      <c r="G359" s="79">
        <f t="shared" si="186"/>
        <v>0</v>
      </c>
      <c r="H359" s="79">
        <f t="shared" si="186"/>
        <v>0</v>
      </c>
      <c r="I359" s="79">
        <f t="shared" si="186"/>
        <v>0</v>
      </c>
      <c r="J359" s="79">
        <f t="shared" si="186"/>
        <v>0</v>
      </c>
      <c r="K359" s="79">
        <f t="shared" si="186"/>
        <v>0</v>
      </c>
      <c r="L359" s="79">
        <f t="shared" si="186"/>
        <v>0</v>
      </c>
      <c r="M359" s="96">
        <f t="shared" si="186"/>
        <v>0</v>
      </c>
      <c r="N359" s="79">
        <f t="shared" si="186"/>
        <v>0</v>
      </c>
      <c r="O359" s="115">
        <f t="shared" si="186"/>
        <v>0</v>
      </c>
      <c r="P359" s="79">
        <f t="shared" si="186"/>
        <v>0</v>
      </c>
      <c r="Q359" s="79">
        <f t="shared" si="186"/>
        <v>0</v>
      </c>
      <c r="R359" s="79">
        <f t="shared" si="186"/>
        <v>0</v>
      </c>
      <c r="S359" s="79">
        <f t="shared" si="186"/>
        <v>0</v>
      </c>
      <c r="T359" s="79">
        <f t="shared" si="186"/>
        <v>0</v>
      </c>
    </row>
    <row r="360" spans="1:20" s="24" customFormat="1" ht="38.25" hidden="1">
      <c r="A360" s="5"/>
      <c r="B360" s="5"/>
      <c r="C360" s="66"/>
      <c r="D360" s="41" t="s">
        <v>10</v>
      </c>
      <c r="E360" s="109" t="s">
        <v>99</v>
      </c>
      <c r="F360" s="79">
        <v>0</v>
      </c>
      <c r="G360" s="93">
        <f>F360+SUM(H360:T360)</f>
        <v>0</v>
      </c>
      <c r="H360" s="68"/>
      <c r="I360" s="68"/>
      <c r="J360" s="69"/>
      <c r="K360" s="69"/>
      <c r="L360" s="68"/>
      <c r="M360" s="70"/>
      <c r="N360" s="68"/>
      <c r="O360" s="51"/>
      <c r="P360" s="68"/>
      <c r="Q360" s="68"/>
      <c r="R360" s="68"/>
      <c r="S360" s="68"/>
      <c r="T360" s="68"/>
    </row>
    <row r="361" spans="1:20" s="24" customFormat="1" ht="38.25" hidden="1">
      <c r="A361" s="5"/>
      <c r="B361" s="5"/>
      <c r="C361" s="66" t="s">
        <v>347</v>
      </c>
      <c r="D361" s="41"/>
      <c r="E361" s="83" t="s">
        <v>349</v>
      </c>
      <c r="F361" s="79">
        <f>F362</f>
        <v>1700</v>
      </c>
      <c r="G361" s="79">
        <f aca="true" t="shared" si="187" ref="G361:T362">G362</f>
        <v>195.0999999999999</v>
      </c>
      <c r="H361" s="79">
        <f t="shared" si="187"/>
        <v>0</v>
      </c>
      <c r="I361" s="79">
        <f t="shared" si="187"/>
        <v>0</v>
      </c>
      <c r="J361" s="79">
        <f t="shared" si="187"/>
        <v>0</v>
      </c>
      <c r="K361" s="79">
        <f t="shared" si="187"/>
        <v>0</v>
      </c>
      <c r="L361" s="79">
        <f t="shared" si="187"/>
        <v>0</v>
      </c>
      <c r="M361" s="96">
        <f t="shared" si="187"/>
        <v>0</v>
      </c>
      <c r="N361" s="79">
        <f t="shared" si="187"/>
        <v>0</v>
      </c>
      <c r="O361" s="115">
        <f t="shared" si="187"/>
        <v>0</v>
      </c>
      <c r="P361" s="79">
        <f t="shared" si="187"/>
        <v>-1504.9</v>
      </c>
      <c r="Q361" s="79">
        <f t="shared" si="187"/>
        <v>0</v>
      </c>
      <c r="R361" s="79">
        <f t="shared" si="187"/>
        <v>0</v>
      </c>
      <c r="S361" s="79">
        <f t="shared" si="187"/>
        <v>0</v>
      </c>
      <c r="T361" s="79">
        <f t="shared" si="187"/>
        <v>0</v>
      </c>
    </row>
    <row r="362" spans="1:20" s="24" customFormat="1" ht="25.5" hidden="1">
      <c r="A362" s="5"/>
      <c r="B362" s="5"/>
      <c r="C362" s="66" t="s">
        <v>348</v>
      </c>
      <c r="D362" s="41"/>
      <c r="E362" s="83" t="s">
        <v>344</v>
      </c>
      <c r="F362" s="79">
        <f>F363</f>
        <v>1700</v>
      </c>
      <c r="G362" s="79">
        <f t="shared" si="187"/>
        <v>195.0999999999999</v>
      </c>
      <c r="H362" s="79">
        <f t="shared" si="187"/>
        <v>0</v>
      </c>
      <c r="I362" s="79">
        <f t="shared" si="187"/>
        <v>0</v>
      </c>
      <c r="J362" s="79">
        <f t="shared" si="187"/>
        <v>0</v>
      </c>
      <c r="K362" s="79">
        <f t="shared" si="187"/>
        <v>0</v>
      </c>
      <c r="L362" s="79">
        <f t="shared" si="187"/>
        <v>0</v>
      </c>
      <c r="M362" s="96">
        <f t="shared" si="187"/>
        <v>0</v>
      </c>
      <c r="N362" s="79">
        <f t="shared" si="187"/>
        <v>0</v>
      </c>
      <c r="O362" s="115">
        <f t="shared" si="187"/>
        <v>0</v>
      </c>
      <c r="P362" s="79">
        <f t="shared" si="187"/>
        <v>-1504.9</v>
      </c>
      <c r="Q362" s="79">
        <f t="shared" si="187"/>
        <v>0</v>
      </c>
      <c r="R362" s="79">
        <f t="shared" si="187"/>
        <v>0</v>
      </c>
      <c r="S362" s="79">
        <f t="shared" si="187"/>
        <v>0</v>
      </c>
      <c r="T362" s="79">
        <f t="shared" si="187"/>
        <v>0</v>
      </c>
    </row>
    <row r="363" spans="1:20" s="24" customFormat="1" ht="38.25" hidden="1">
      <c r="A363" s="5"/>
      <c r="B363" s="5"/>
      <c r="C363" s="66"/>
      <c r="D363" s="41" t="s">
        <v>10</v>
      </c>
      <c r="E363" s="75" t="s">
        <v>99</v>
      </c>
      <c r="F363" s="79">
        <v>1700</v>
      </c>
      <c r="G363" s="93">
        <f>F363+SUM(H363:T363)</f>
        <v>195.0999999999999</v>
      </c>
      <c r="H363" s="68"/>
      <c r="I363" s="68"/>
      <c r="J363" s="69"/>
      <c r="K363" s="69"/>
      <c r="L363" s="68"/>
      <c r="M363" s="70"/>
      <c r="N363" s="68"/>
      <c r="O363" s="51"/>
      <c r="P363" s="68">
        <v>-1504.9</v>
      </c>
      <c r="Q363" s="68"/>
      <c r="R363" s="68"/>
      <c r="S363" s="68"/>
      <c r="T363" s="68"/>
    </row>
    <row r="364" spans="1:20" s="24" customFormat="1" ht="38.25" hidden="1">
      <c r="A364" s="5"/>
      <c r="B364" s="5"/>
      <c r="C364" s="66" t="s">
        <v>505</v>
      </c>
      <c r="D364" s="41"/>
      <c r="E364" s="75" t="s">
        <v>507</v>
      </c>
      <c r="F364" s="79">
        <f>F365</f>
        <v>1500</v>
      </c>
      <c r="G364" s="79">
        <f aca="true" t="shared" si="188" ref="G364:T365">G365</f>
        <v>0</v>
      </c>
      <c r="H364" s="79">
        <f t="shared" si="188"/>
        <v>0</v>
      </c>
      <c r="I364" s="79">
        <f t="shared" si="188"/>
        <v>0</v>
      </c>
      <c r="J364" s="79">
        <f t="shared" si="188"/>
        <v>0</v>
      </c>
      <c r="K364" s="79">
        <f t="shared" si="188"/>
        <v>0</v>
      </c>
      <c r="L364" s="79">
        <f t="shared" si="188"/>
        <v>0</v>
      </c>
      <c r="M364" s="96">
        <f t="shared" si="188"/>
        <v>0</v>
      </c>
      <c r="N364" s="79">
        <f t="shared" si="188"/>
        <v>0</v>
      </c>
      <c r="O364" s="115">
        <f t="shared" si="188"/>
        <v>0</v>
      </c>
      <c r="P364" s="79">
        <f t="shared" si="188"/>
        <v>-1500</v>
      </c>
      <c r="Q364" s="79">
        <f t="shared" si="188"/>
        <v>0</v>
      </c>
      <c r="R364" s="79">
        <f t="shared" si="188"/>
        <v>0</v>
      </c>
      <c r="S364" s="79">
        <f t="shared" si="188"/>
        <v>0</v>
      </c>
      <c r="T364" s="79">
        <f t="shared" si="188"/>
        <v>0</v>
      </c>
    </row>
    <row r="365" spans="1:20" s="24" customFormat="1" ht="25.5" hidden="1">
      <c r="A365" s="5"/>
      <c r="B365" s="5"/>
      <c r="C365" s="66" t="s">
        <v>506</v>
      </c>
      <c r="D365" s="41"/>
      <c r="E365" s="75" t="s">
        <v>508</v>
      </c>
      <c r="F365" s="79">
        <f>F366</f>
        <v>1500</v>
      </c>
      <c r="G365" s="79">
        <f t="shared" si="188"/>
        <v>0</v>
      </c>
      <c r="H365" s="79">
        <f t="shared" si="188"/>
        <v>0</v>
      </c>
      <c r="I365" s="79">
        <f t="shared" si="188"/>
        <v>0</v>
      </c>
      <c r="J365" s="79">
        <f t="shared" si="188"/>
        <v>0</v>
      </c>
      <c r="K365" s="79">
        <f t="shared" si="188"/>
        <v>0</v>
      </c>
      <c r="L365" s="79">
        <f t="shared" si="188"/>
        <v>0</v>
      </c>
      <c r="M365" s="96">
        <f t="shared" si="188"/>
        <v>0</v>
      </c>
      <c r="N365" s="79">
        <f t="shared" si="188"/>
        <v>0</v>
      </c>
      <c r="O365" s="115">
        <f t="shared" si="188"/>
        <v>0</v>
      </c>
      <c r="P365" s="79">
        <f t="shared" si="188"/>
        <v>-1500</v>
      </c>
      <c r="Q365" s="79">
        <f t="shared" si="188"/>
        <v>0</v>
      </c>
      <c r="R365" s="79">
        <f t="shared" si="188"/>
        <v>0</v>
      </c>
      <c r="S365" s="79">
        <f t="shared" si="188"/>
        <v>0</v>
      </c>
      <c r="T365" s="79">
        <f t="shared" si="188"/>
        <v>0</v>
      </c>
    </row>
    <row r="366" spans="1:20" s="24" customFormat="1" ht="38.25" hidden="1">
      <c r="A366" s="5"/>
      <c r="B366" s="5"/>
      <c r="C366" s="66"/>
      <c r="D366" s="41" t="s">
        <v>10</v>
      </c>
      <c r="E366" s="75" t="s">
        <v>99</v>
      </c>
      <c r="F366" s="79">
        <v>1500</v>
      </c>
      <c r="G366" s="93">
        <f>F366+SUM(H366:T366)</f>
        <v>0</v>
      </c>
      <c r="H366" s="68"/>
      <c r="I366" s="68"/>
      <c r="J366" s="69"/>
      <c r="K366" s="69"/>
      <c r="L366" s="68"/>
      <c r="M366" s="70"/>
      <c r="N366" s="68"/>
      <c r="O366" s="51"/>
      <c r="P366" s="68">
        <v>-1500</v>
      </c>
      <c r="Q366" s="68"/>
      <c r="R366" s="68"/>
      <c r="S366" s="68"/>
      <c r="T366" s="68"/>
    </row>
    <row r="367" spans="1:20" s="24" customFormat="1" ht="38.25" hidden="1">
      <c r="A367" s="5"/>
      <c r="B367" s="5"/>
      <c r="C367" s="82" t="s">
        <v>353</v>
      </c>
      <c r="D367" s="41"/>
      <c r="E367" s="85" t="s">
        <v>135</v>
      </c>
      <c r="F367" s="79">
        <f>F368</f>
        <v>1591.6</v>
      </c>
      <c r="G367" s="79">
        <f aca="true" t="shared" si="189" ref="G367:T369">G368</f>
        <v>0</v>
      </c>
      <c r="H367" s="79">
        <f t="shared" si="189"/>
        <v>0</v>
      </c>
      <c r="I367" s="79">
        <f t="shared" si="189"/>
        <v>0</v>
      </c>
      <c r="J367" s="79">
        <f t="shared" si="189"/>
        <v>0</v>
      </c>
      <c r="K367" s="79">
        <f t="shared" si="189"/>
        <v>0</v>
      </c>
      <c r="L367" s="79">
        <f t="shared" si="189"/>
        <v>0</v>
      </c>
      <c r="M367" s="96">
        <f t="shared" si="189"/>
        <v>0</v>
      </c>
      <c r="N367" s="79">
        <f t="shared" si="189"/>
        <v>0</v>
      </c>
      <c r="O367" s="115">
        <f t="shared" si="189"/>
        <v>0</v>
      </c>
      <c r="P367" s="79">
        <f t="shared" si="189"/>
        <v>-1591.6</v>
      </c>
      <c r="Q367" s="79">
        <f t="shared" si="189"/>
        <v>0</v>
      </c>
      <c r="R367" s="79">
        <f t="shared" si="189"/>
        <v>0</v>
      </c>
      <c r="S367" s="79">
        <f t="shared" si="189"/>
        <v>0</v>
      </c>
      <c r="T367" s="79">
        <f t="shared" si="189"/>
        <v>0</v>
      </c>
    </row>
    <row r="368" spans="1:20" s="24" customFormat="1" ht="63.75" hidden="1">
      <c r="A368" s="5"/>
      <c r="B368" s="5"/>
      <c r="C368" s="66" t="s">
        <v>354</v>
      </c>
      <c r="D368" s="41"/>
      <c r="E368" s="83" t="s">
        <v>356</v>
      </c>
      <c r="F368" s="79">
        <f>F369</f>
        <v>1591.6</v>
      </c>
      <c r="G368" s="79">
        <f t="shared" si="189"/>
        <v>0</v>
      </c>
      <c r="H368" s="79">
        <f t="shared" si="189"/>
        <v>0</v>
      </c>
      <c r="I368" s="79">
        <f t="shared" si="189"/>
        <v>0</v>
      </c>
      <c r="J368" s="79">
        <f t="shared" si="189"/>
        <v>0</v>
      </c>
      <c r="K368" s="79">
        <f t="shared" si="189"/>
        <v>0</v>
      </c>
      <c r="L368" s="79">
        <f t="shared" si="189"/>
        <v>0</v>
      </c>
      <c r="M368" s="96">
        <f t="shared" si="189"/>
        <v>0</v>
      </c>
      <c r="N368" s="79">
        <f t="shared" si="189"/>
        <v>0</v>
      </c>
      <c r="O368" s="115">
        <f t="shared" si="189"/>
        <v>0</v>
      </c>
      <c r="P368" s="79">
        <f t="shared" si="189"/>
        <v>-1591.6</v>
      </c>
      <c r="Q368" s="79">
        <f t="shared" si="189"/>
        <v>0</v>
      </c>
      <c r="R368" s="79">
        <f t="shared" si="189"/>
        <v>0</v>
      </c>
      <c r="S368" s="79">
        <f t="shared" si="189"/>
        <v>0</v>
      </c>
      <c r="T368" s="79">
        <f t="shared" si="189"/>
        <v>0</v>
      </c>
    </row>
    <row r="369" spans="1:20" s="24" customFormat="1" ht="51" hidden="1">
      <c r="A369" s="5"/>
      <c r="B369" s="5"/>
      <c r="C369" s="66" t="s">
        <v>355</v>
      </c>
      <c r="D369" s="41"/>
      <c r="E369" s="83" t="s">
        <v>435</v>
      </c>
      <c r="F369" s="79">
        <f>F370</f>
        <v>1591.6</v>
      </c>
      <c r="G369" s="79">
        <f t="shared" si="189"/>
        <v>0</v>
      </c>
      <c r="H369" s="79">
        <f t="shared" si="189"/>
        <v>0</v>
      </c>
      <c r="I369" s="79">
        <f t="shared" si="189"/>
        <v>0</v>
      </c>
      <c r="J369" s="79">
        <f t="shared" si="189"/>
        <v>0</v>
      </c>
      <c r="K369" s="79">
        <f t="shared" si="189"/>
        <v>0</v>
      </c>
      <c r="L369" s="79">
        <f t="shared" si="189"/>
        <v>0</v>
      </c>
      <c r="M369" s="96">
        <f t="shared" si="189"/>
        <v>0</v>
      </c>
      <c r="N369" s="79">
        <f t="shared" si="189"/>
        <v>0</v>
      </c>
      <c r="O369" s="115">
        <f t="shared" si="189"/>
        <v>0</v>
      </c>
      <c r="P369" s="79">
        <f t="shared" si="189"/>
        <v>-1591.6</v>
      </c>
      <c r="Q369" s="79">
        <f t="shared" si="189"/>
        <v>0</v>
      </c>
      <c r="R369" s="79">
        <f t="shared" si="189"/>
        <v>0</v>
      </c>
      <c r="S369" s="79">
        <f t="shared" si="189"/>
        <v>0</v>
      </c>
      <c r="T369" s="79">
        <f t="shared" si="189"/>
        <v>0</v>
      </c>
    </row>
    <row r="370" spans="1:20" s="24" customFormat="1" ht="38.25" hidden="1">
      <c r="A370" s="5"/>
      <c r="B370" s="5"/>
      <c r="C370" s="66"/>
      <c r="D370" s="41" t="s">
        <v>10</v>
      </c>
      <c r="E370" s="75" t="s">
        <v>99</v>
      </c>
      <c r="F370" s="79">
        <v>1591.6</v>
      </c>
      <c r="G370" s="93">
        <f>F370+SUM(H370:T370)</f>
        <v>0</v>
      </c>
      <c r="H370" s="68"/>
      <c r="I370" s="68"/>
      <c r="J370" s="69"/>
      <c r="K370" s="69"/>
      <c r="L370" s="68"/>
      <c r="M370" s="70"/>
      <c r="N370" s="68"/>
      <c r="O370" s="51"/>
      <c r="P370" s="68">
        <v>-1591.6</v>
      </c>
      <c r="Q370" s="68"/>
      <c r="R370" s="68"/>
      <c r="S370" s="68"/>
      <c r="T370" s="68"/>
    </row>
    <row r="371" spans="1:21" s="24" customFormat="1" ht="53.25" customHeight="1" hidden="1">
      <c r="A371" s="5"/>
      <c r="B371" s="5"/>
      <c r="C371" s="63" t="s">
        <v>372</v>
      </c>
      <c r="D371" s="11"/>
      <c r="E371" s="84" t="s">
        <v>137</v>
      </c>
      <c r="F371" s="95">
        <f>F372</f>
        <v>300</v>
      </c>
      <c r="G371" s="95">
        <f aca="true" t="shared" si="190" ref="G371:T374">G372</f>
        <v>83.1</v>
      </c>
      <c r="H371" s="73">
        <f t="shared" si="190"/>
        <v>0</v>
      </c>
      <c r="I371" s="73">
        <f t="shared" si="190"/>
        <v>0</v>
      </c>
      <c r="J371" s="73">
        <f t="shared" si="190"/>
        <v>0</v>
      </c>
      <c r="K371" s="73">
        <f t="shared" si="190"/>
        <v>0</v>
      </c>
      <c r="L371" s="73">
        <f t="shared" si="190"/>
        <v>0</v>
      </c>
      <c r="M371" s="77">
        <f t="shared" si="190"/>
        <v>0</v>
      </c>
      <c r="N371" s="73">
        <f t="shared" si="190"/>
        <v>0</v>
      </c>
      <c r="O371" s="50">
        <f t="shared" si="190"/>
        <v>0</v>
      </c>
      <c r="P371" s="73">
        <f t="shared" si="190"/>
        <v>-216.9</v>
      </c>
      <c r="Q371" s="73">
        <f t="shared" si="190"/>
        <v>0</v>
      </c>
      <c r="R371" s="73">
        <f t="shared" si="190"/>
        <v>0</v>
      </c>
      <c r="S371" s="73">
        <f t="shared" si="190"/>
        <v>0</v>
      </c>
      <c r="T371" s="73">
        <f t="shared" si="190"/>
        <v>0</v>
      </c>
      <c r="U371" s="25"/>
    </row>
    <row r="372" spans="1:21" s="24" customFormat="1" ht="25.5" hidden="1">
      <c r="A372" s="5"/>
      <c r="B372" s="5"/>
      <c r="C372" s="82" t="s">
        <v>383</v>
      </c>
      <c r="D372" s="99"/>
      <c r="E372" s="103" t="s">
        <v>156</v>
      </c>
      <c r="F372" s="93">
        <f>F373</f>
        <v>300</v>
      </c>
      <c r="G372" s="93">
        <f t="shared" si="190"/>
        <v>83.1</v>
      </c>
      <c r="H372" s="64">
        <f t="shared" si="190"/>
        <v>0</v>
      </c>
      <c r="I372" s="64">
        <f t="shared" si="190"/>
        <v>0</v>
      </c>
      <c r="J372" s="64">
        <f t="shared" si="190"/>
        <v>0</v>
      </c>
      <c r="K372" s="64">
        <f t="shared" si="190"/>
        <v>0</v>
      </c>
      <c r="L372" s="64">
        <f t="shared" si="190"/>
        <v>0</v>
      </c>
      <c r="M372" s="78">
        <f t="shared" si="190"/>
        <v>0</v>
      </c>
      <c r="N372" s="64">
        <f t="shared" si="190"/>
        <v>0</v>
      </c>
      <c r="O372" s="191">
        <f t="shared" si="190"/>
        <v>0</v>
      </c>
      <c r="P372" s="64">
        <f t="shared" si="190"/>
        <v>-216.9</v>
      </c>
      <c r="Q372" s="64">
        <f t="shared" si="190"/>
        <v>0</v>
      </c>
      <c r="R372" s="64">
        <f t="shared" si="190"/>
        <v>0</v>
      </c>
      <c r="S372" s="64">
        <f t="shared" si="190"/>
        <v>0</v>
      </c>
      <c r="T372" s="64">
        <f t="shared" si="190"/>
        <v>0</v>
      </c>
      <c r="U372" s="25"/>
    </row>
    <row r="373" spans="1:21" s="24" customFormat="1" ht="25.5" hidden="1">
      <c r="A373" s="5"/>
      <c r="B373" s="5"/>
      <c r="C373" s="66" t="s">
        <v>384</v>
      </c>
      <c r="D373" s="41"/>
      <c r="E373" s="67" t="s">
        <v>386</v>
      </c>
      <c r="F373" s="93">
        <f>F374</f>
        <v>300</v>
      </c>
      <c r="G373" s="93">
        <f t="shared" si="190"/>
        <v>83.1</v>
      </c>
      <c r="H373" s="64">
        <f t="shared" si="190"/>
        <v>0</v>
      </c>
      <c r="I373" s="64">
        <f t="shared" si="190"/>
        <v>0</v>
      </c>
      <c r="J373" s="64">
        <f t="shared" si="190"/>
        <v>0</v>
      </c>
      <c r="K373" s="64">
        <f t="shared" si="190"/>
        <v>0</v>
      </c>
      <c r="L373" s="64">
        <f t="shared" si="190"/>
        <v>0</v>
      </c>
      <c r="M373" s="78">
        <f t="shared" si="190"/>
        <v>0</v>
      </c>
      <c r="N373" s="64">
        <f t="shared" si="190"/>
        <v>0</v>
      </c>
      <c r="O373" s="191">
        <f t="shared" si="190"/>
        <v>0</v>
      </c>
      <c r="P373" s="64">
        <f t="shared" si="190"/>
        <v>-216.9</v>
      </c>
      <c r="Q373" s="64">
        <f t="shared" si="190"/>
        <v>0</v>
      </c>
      <c r="R373" s="64">
        <f t="shared" si="190"/>
        <v>0</v>
      </c>
      <c r="S373" s="64">
        <f t="shared" si="190"/>
        <v>0</v>
      </c>
      <c r="T373" s="64">
        <f t="shared" si="190"/>
        <v>0</v>
      </c>
      <c r="U373" s="25"/>
    </row>
    <row r="374" spans="1:21" s="24" customFormat="1" ht="12.75" hidden="1">
      <c r="A374" s="5"/>
      <c r="B374" s="5"/>
      <c r="C374" s="66" t="s">
        <v>385</v>
      </c>
      <c r="D374" s="41"/>
      <c r="E374" s="67" t="s">
        <v>387</v>
      </c>
      <c r="F374" s="93">
        <f>F375</f>
        <v>300</v>
      </c>
      <c r="G374" s="93">
        <f t="shared" si="190"/>
        <v>83.1</v>
      </c>
      <c r="H374" s="64">
        <f t="shared" si="190"/>
        <v>0</v>
      </c>
      <c r="I374" s="64">
        <f t="shared" si="190"/>
        <v>0</v>
      </c>
      <c r="J374" s="64">
        <f t="shared" si="190"/>
        <v>0</v>
      </c>
      <c r="K374" s="64">
        <f t="shared" si="190"/>
        <v>0</v>
      </c>
      <c r="L374" s="64">
        <f t="shared" si="190"/>
        <v>0</v>
      </c>
      <c r="M374" s="78">
        <f t="shared" si="190"/>
        <v>0</v>
      </c>
      <c r="N374" s="64">
        <f t="shared" si="190"/>
        <v>0</v>
      </c>
      <c r="O374" s="191">
        <f t="shared" si="190"/>
        <v>0</v>
      </c>
      <c r="P374" s="64">
        <f t="shared" si="190"/>
        <v>-216.9</v>
      </c>
      <c r="Q374" s="64">
        <f t="shared" si="190"/>
        <v>0</v>
      </c>
      <c r="R374" s="64">
        <f t="shared" si="190"/>
        <v>0</v>
      </c>
      <c r="S374" s="64">
        <f t="shared" si="190"/>
        <v>0</v>
      </c>
      <c r="T374" s="64">
        <f t="shared" si="190"/>
        <v>0</v>
      </c>
      <c r="U374" s="25"/>
    </row>
    <row r="375" spans="1:21" s="24" customFormat="1" ht="25.5" hidden="1">
      <c r="A375" s="5"/>
      <c r="B375" s="5"/>
      <c r="C375" s="66"/>
      <c r="D375" s="41" t="s">
        <v>3</v>
      </c>
      <c r="E375" s="67" t="s">
        <v>95</v>
      </c>
      <c r="F375" s="93">
        <v>300</v>
      </c>
      <c r="G375" s="93">
        <f>F375+SUM(H375:T375)</f>
        <v>83.1</v>
      </c>
      <c r="H375" s="64"/>
      <c r="I375" s="64"/>
      <c r="J375" s="65"/>
      <c r="K375" s="65"/>
      <c r="L375" s="64"/>
      <c r="M375" s="78"/>
      <c r="N375" s="64"/>
      <c r="O375" s="191"/>
      <c r="P375" s="64">
        <v>-216.9</v>
      </c>
      <c r="Q375" s="64"/>
      <c r="R375" s="64"/>
      <c r="S375" s="64"/>
      <c r="T375" s="64"/>
      <c r="U375" s="25"/>
    </row>
    <row r="376" spans="1:20" s="25" customFormat="1" ht="12.75" hidden="1">
      <c r="A376" s="17"/>
      <c r="B376" s="17"/>
      <c r="C376" s="63" t="s">
        <v>430</v>
      </c>
      <c r="D376" s="11"/>
      <c r="E376" s="60" t="s">
        <v>144</v>
      </c>
      <c r="F376" s="95">
        <f>F377</f>
        <v>0</v>
      </c>
      <c r="G376" s="95">
        <f aca="true" t="shared" si="191" ref="G376:T377">G377</f>
        <v>1134.21</v>
      </c>
      <c r="H376" s="73">
        <f t="shared" si="191"/>
        <v>0</v>
      </c>
      <c r="I376" s="73">
        <f t="shared" si="191"/>
        <v>531.24</v>
      </c>
      <c r="J376" s="73">
        <f t="shared" si="191"/>
        <v>0</v>
      </c>
      <c r="K376" s="73">
        <f t="shared" si="191"/>
        <v>0</v>
      </c>
      <c r="L376" s="73">
        <f t="shared" si="191"/>
        <v>0</v>
      </c>
      <c r="M376" s="77">
        <f t="shared" si="191"/>
        <v>0</v>
      </c>
      <c r="N376" s="73">
        <f t="shared" si="191"/>
        <v>0</v>
      </c>
      <c r="O376" s="50">
        <f t="shared" si="191"/>
        <v>602.97</v>
      </c>
      <c r="P376" s="73">
        <f t="shared" si="191"/>
        <v>0</v>
      </c>
      <c r="Q376" s="73">
        <f t="shared" si="191"/>
        <v>0</v>
      </c>
      <c r="R376" s="73">
        <f t="shared" si="191"/>
        <v>0</v>
      </c>
      <c r="S376" s="73">
        <f t="shared" si="191"/>
        <v>0</v>
      </c>
      <c r="T376" s="73">
        <f t="shared" si="191"/>
        <v>0</v>
      </c>
    </row>
    <row r="377" spans="1:20" s="25" customFormat="1" ht="38.25" hidden="1">
      <c r="A377" s="17"/>
      <c r="B377" s="17"/>
      <c r="C377" s="66" t="s">
        <v>431</v>
      </c>
      <c r="D377" s="41"/>
      <c r="E377" s="57" t="s">
        <v>145</v>
      </c>
      <c r="F377" s="79">
        <f>F378</f>
        <v>0</v>
      </c>
      <c r="G377" s="79">
        <f t="shared" si="191"/>
        <v>1134.21</v>
      </c>
      <c r="H377" s="68">
        <f t="shared" si="191"/>
        <v>0</v>
      </c>
      <c r="I377" s="68">
        <f t="shared" si="191"/>
        <v>531.24</v>
      </c>
      <c r="J377" s="68">
        <f t="shared" si="191"/>
        <v>0</v>
      </c>
      <c r="K377" s="68">
        <f t="shared" si="191"/>
        <v>0</v>
      </c>
      <c r="L377" s="68">
        <f t="shared" si="191"/>
        <v>0</v>
      </c>
      <c r="M377" s="70">
        <f t="shared" si="191"/>
        <v>0</v>
      </c>
      <c r="N377" s="68">
        <f t="shared" si="191"/>
        <v>0</v>
      </c>
      <c r="O377" s="51">
        <f t="shared" si="191"/>
        <v>602.97</v>
      </c>
      <c r="P377" s="68">
        <f t="shared" si="191"/>
        <v>0</v>
      </c>
      <c r="Q377" s="68">
        <f t="shared" si="191"/>
        <v>0</v>
      </c>
      <c r="R377" s="68">
        <f t="shared" si="191"/>
        <v>0</v>
      </c>
      <c r="S377" s="68">
        <f t="shared" si="191"/>
        <v>0</v>
      </c>
      <c r="T377" s="68">
        <f t="shared" si="191"/>
        <v>0</v>
      </c>
    </row>
    <row r="378" spans="1:20" s="25" customFormat="1" ht="12.75" hidden="1">
      <c r="A378" s="17"/>
      <c r="B378" s="17"/>
      <c r="C378" s="66"/>
      <c r="D378" s="41" t="s">
        <v>4</v>
      </c>
      <c r="E378" s="67" t="s">
        <v>5</v>
      </c>
      <c r="F378" s="79"/>
      <c r="G378" s="93">
        <f>F378+SUM(H378:T378)</f>
        <v>1134.21</v>
      </c>
      <c r="H378" s="68"/>
      <c r="I378" s="68">
        <v>531.24</v>
      </c>
      <c r="J378" s="69"/>
      <c r="K378" s="69"/>
      <c r="L378" s="68"/>
      <c r="M378" s="70"/>
      <c r="N378" s="68"/>
      <c r="O378" s="51">
        <v>602.97</v>
      </c>
      <c r="P378" s="68"/>
      <c r="Q378" s="68"/>
      <c r="R378" s="68"/>
      <c r="S378" s="68"/>
      <c r="T378" s="68"/>
    </row>
    <row r="379" spans="1:21" s="24" customFormat="1" ht="12.75">
      <c r="A379" s="5"/>
      <c r="B379" s="144" t="s">
        <v>76</v>
      </c>
      <c r="C379" s="140"/>
      <c r="D379" s="140"/>
      <c r="E379" s="141" t="s">
        <v>77</v>
      </c>
      <c r="F379" s="119">
        <f>F380+F385+F402</f>
        <v>24779.5</v>
      </c>
      <c r="G379" s="119">
        <f aca="true" t="shared" si="192" ref="G379:T379">G380+G385+G402</f>
        <v>34361.82665</v>
      </c>
      <c r="H379" s="119">
        <f t="shared" si="192"/>
        <v>0</v>
      </c>
      <c r="I379" s="119">
        <f t="shared" si="192"/>
        <v>-927.528</v>
      </c>
      <c r="J379" s="119">
        <f t="shared" si="192"/>
        <v>-1964.2907400000001</v>
      </c>
      <c r="K379" s="119">
        <f t="shared" si="192"/>
        <v>-833.33333</v>
      </c>
      <c r="L379" s="119">
        <f t="shared" si="192"/>
        <v>13414</v>
      </c>
      <c r="M379" s="121">
        <f t="shared" si="192"/>
        <v>53.513200000000005</v>
      </c>
      <c r="N379" s="119">
        <f t="shared" si="192"/>
        <v>0</v>
      </c>
      <c r="O379" s="185">
        <f t="shared" si="192"/>
        <v>-200.03448</v>
      </c>
      <c r="P379" s="119">
        <f t="shared" si="192"/>
        <v>40</v>
      </c>
      <c r="Q379" s="119">
        <f t="shared" si="192"/>
        <v>0</v>
      </c>
      <c r="R379" s="119">
        <f>R380+R385+R402</f>
        <v>0</v>
      </c>
      <c r="S379" s="119">
        <f>S380+S385+S402</f>
        <v>0</v>
      </c>
      <c r="T379" s="119">
        <f t="shared" si="192"/>
        <v>0</v>
      </c>
      <c r="U379" s="25"/>
    </row>
    <row r="380" spans="1:20" s="25" customFormat="1" ht="38.25" hidden="1">
      <c r="A380" s="17"/>
      <c r="B380" s="142"/>
      <c r="C380" s="143" t="s">
        <v>200</v>
      </c>
      <c r="D380" s="144"/>
      <c r="E380" s="145" t="s">
        <v>114</v>
      </c>
      <c r="F380" s="95">
        <f>F381</f>
        <v>303</v>
      </c>
      <c r="G380" s="95">
        <f aca="true" t="shared" si="193" ref="G380:T380">G381</f>
        <v>343</v>
      </c>
      <c r="H380" s="95">
        <f t="shared" si="193"/>
        <v>0</v>
      </c>
      <c r="I380" s="95">
        <f t="shared" si="193"/>
        <v>0</v>
      </c>
      <c r="J380" s="95">
        <f t="shared" si="193"/>
        <v>0</v>
      </c>
      <c r="K380" s="95">
        <f t="shared" si="193"/>
        <v>0</v>
      </c>
      <c r="L380" s="95">
        <f t="shared" si="193"/>
        <v>0</v>
      </c>
      <c r="M380" s="131">
        <f t="shared" si="193"/>
        <v>0</v>
      </c>
      <c r="N380" s="95">
        <f t="shared" si="193"/>
        <v>0</v>
      </c>
      <c r="O380" s="184">
        <f t="shared" si="193"/>
        <v>0</v>
      </c>
      <c r="P380" s="95">
        <f t="shared" si="193"/>
        <v>40</v>
      </c>
      <c r="Q380" s="95">
        <f t="shared" si="193"/>
        <v>0</v>
      </c>
      <c r="R380" s="95">
        <f t="shared" si="193"/>
        <v>0</v>
      </c>
      <c r="S380" s="95">
        <f t="shared" si="193"/>
        <v>0</v>
      </c>
      <c r="T380" s="95">
        <f t="shared" si="193"/>
        <v>0</v>
      </c>
    </row>
    <row r="381" spans="1:20" s="25" customFormat="1" ht="25.5" hidden="1">
      <c r="A381" s="17"/>
      <c r="B381" s="142"/>
      <c r="C381" s="146" t="s">
        <v>214</v>
      </c>
      <c r="D381" s="107"/>
      <c r="E381" s="104" t="s">
        <v>115</v>
      </c>
      <c r="F381" s="79">
        <f>F382</f>
        <v>303</v>
      </c>
      <c r="G381" s="79">
        <f aca="true" t="shared" si="194" ref="G381:T383">G382</f>
        <v>343</v>
      </c>
      <c r="H381" s="68">
        <f t="shared" si="194"/>
        <v>0</v>
      </c>
      <c r="I381" s="68">
        <f t="shared" si="194"/>
        <v>0</v>
      </c>
      <c r="J381" s="68">
        <f t="shared" si="194"/>
        <v>0</v>
      </c>
      <c r="K381" s="68">
        <f t="shared" si="194"/>
        <v>0</v>
      </c>
      <c r="L381" s="68">
        <f t="shared" si="194"/>
        <v>0</v>
      </c>
      <c r="M381" s="70">
        <f t="shared" si="194"/>
        <v>0</v>
      </c>
      <c r="N381" s="68">
        <f t="shared" si="194"/>
        <v>0</v>
      </c>
      <c r="O381" s="51">
        <f t="shared" si="194"/>
        <v>0</v>
      </c>
      <c r="P381" s="68">
        <f t="shared" si="194"/>
        <v>40</v>
      </c>
      <c r="Q381" s="68">
        <f t="shared" si="194"/>
        <v>0</v>
      </c>
      <c r="R381" s="68">
        <f t="shared" si="194"/>
        <v>0</v>
      </c>
      <c r="S381" s="68">
        <f t="shared" si="194"/>
        <v>0</v>
      </c>
      <c r="T381" s="68">
        <f t="shared" si="194"/>
        <v>0</v>
      </c>
    </row>
    <row r="382" spans="1:20" s="25" customFormat="1" ht="38.25" hidden="1">
      <c r="A382" s="17"/>
      <c r="B382" s="142"/>
      <c r="C382" s="107" t="s">
        <v>215</v>
      </c>
      <c r="D382" s="107"/>
      <c r="E382" s="105" t="s">
        <v>217</v>
      </c>
      <c r="F382" s="79">
        <f>F383</f>
        <v>303</v>
      </c>
      <c r="G382" s="79">
        <f t="shared" si="194"/>
        <v>343</v>
      </c>
      <c r="H382" s="68">
        <f t="shared" si="194"/>
        <v>0</v>
      </c>
      <c r="I382" s="68">
        <f t="shared" si="194"/>
        <v>0</v>
      </c>
      <c r="J382" s="68">
        <f t="shared" si="194"/>
        <v>0</v>
      </c>
      <c r="K382" s="68">
        <f t="shared" si="194"/>
        <v>0</v>
      </c>
      <c r="L382" s="68">
        <f t="shared" si="194"/>
        <v>0</v>
      </c>
      <c r="M382" s="70">
        <f t="shared" si="194"/>
        <v>0</v>
      </c>
      <c r="N382" s="68">
        <f t="shared" si="194"/>
        <v>0</v>
      </c>
      <c r="O382" s="51">
        <f t="shared" si="194"/>
        <v>0</v>
      </c>
      <c r="P382" s="68">
        <f t="shared" si="194"/>
        <v>40</v>
      </c>
      <c r="Q382" s="68">
        <f t="shared" si="194"/>
        <v>0</v>
      </c>
      <c r="R382" s="68">
        <f t="shared" si="194"/>
        <v>0</v>
      </c>
      <c r="S382" s="68">
        <f t="shared" si="194"/>
        <v>0</v>
      </c>
      <c r="T382" s="68">
        <f t="shared" si="194"/>
        <v>0</v>
      </c>
    </row>
    <row r="383" spans="1:20" s="25" customFormat="1" ht="12.75" hidden="1">
      <c r="A383" s="17"/>
      <c r="B383" s="142"/>
      <c r="C383" s="107" t="s">
        <v>216</v>
      </c>
      <c r="D383" s="107"/>
      <c r="E383" s="105" t="s">
        <v>218</v>
      </c>
      <c r="F383" s="79">
        <f>F384</f>
        <v>303</v>
      </c>
      <c r="G383" s="79">
        <f t="shared" si="194"/>
        <v>343</v>
      </c>
      <c r="H383" s="68">
        <f t="shared" si="194"/>
        <v>0</v>
      </c>
      <c r="I383" s="68">
        <f t="shared" si="194"/>
        <v>0</v>
      </c>
      <c r="J383" s="68">
        <f t="shared" si="194"/>
        <v>0</v>
      </c>
      <c r="K383" s="68">
        <f t="shared" si="194"/>
        <v>0</v>
      </c>
      <c r="L383" s="68">
        <f t="shared" si="194"/>
        <v>0</v>
      </c>
      <c r="M383" s="70">
        <f t="shared" si="194"/>
        <v>0</v>
      </c>
      <c r="N383" s="68">
        <f t="shared" si="194"/>
        <v>0</v>
      </c>
      <c r="O383" s="51">
        <f t="shared" si="194"/>
        <v>0</v>
      </c>
      <c r="P383" s="68">
        <f t="shared" si="194"/>
        <v>40</v>
      </c>
      <c r="Q383" s="68">
        <f t="shared" si="194"/>
        <v>0</v>
      </c>
      <c r="R383" s="68">
        <f t="shared" si="194"/>
        <v>0</v>
      </c>
      <c r="S383" s="68">
        <f t="shared" si="194"/>
        <v>0</v>
      </c>
      <c r="T383" s="68">
        <f t="shared" si="194"/>
        <v>0</v>
      </c>
    </row>
    <row r="384" spans="1:20" s="25" customFormat="1" ht="25.5" hidden="1">
      <c r="A384" s="17"/>
      <c r="B384" s="142"/>
      <c r="C384" s="106"/>
      <c r="D384" s="107" t="s">
        <v>3</v>
      </c>
      <c r="E384" s="109" t="s">
        <v>95</v>
      </c>
      <c r="F384" s="79">
        <v>303</v>
      </c>
      <c r="G384" s="79">
        <f>F384+SUM(H384:T384)</f>
        <v>343</v>
      </c>
      <c r="H384" s="68"/>
      <c r="I384" s="68"/>
      <c r="J384" s="69"/>
      <c r="K384" s="69"/>
      <c r="L384" s="68"/>
      <c r="M384" s="70"/>
      <c r="N384" s="68"/>
      <c r="O384" s="51"/>
      <c r="P384" s="68">
        <v>40</v>
      </c>
      <c r="Q384" s="68"/>
      <c r="R384" s="68"/>
      <c r="S384" s="68"/>
      <c r="T384" s="68"/>
    </row>
    <row r="385" spans="1:20" s="25" customFormat="1" ht="38.25" hidden="1">
      <c r="A385" s="17"/>
      <c r="B385" s="142"/>
      <c r="C385" s="63" t="s">
        <v>372</v>
      </c>
      <c r="D385" s="11"/>
      <c r="E385" s="84" t="s">
        <v>137</v>
      </c>
      <c r="F385" s="95">
        <f>F386</f>
        <v>24476.5</v>
      </c>
      <c r="G385" s="95">
        <f aca="true" t="shared" si="195" ref="G385:T385">G386</f>
        <v>20551.31345</v>
      </c>
      <c r="H385" s="79">
        <f t="shared" si="195"/>
        <v>0</v>
      </c>
      <c r="I385" s="79">
        <f t="shared" si="195"/>
        <v>-927.528</v>
      </c>
      <c r="J385" s="79">
        <f t="shared" si="195"/>
        <v>-1964.2907400000001</v>
      </c>
      <c r="K385" s="79">
        <f t="shared" si="195"/>
        <v>-833.33333</v>
      </c>
      <c r="L385" s="79">
        <f t="shared" si="195"/>
        <v>0</v>
      </c>
      <c r="M385" s="96">
        <f t="shared" si="195"/>
        <v>0</v>
      </c>
      <c r="N385" s="79">
        <f t="shared" si="195"/>
        <v>0</v>
      </c>
      <c r="O385" s="115">
        <f t="shared" si="195"/>
        <v>-200.03448</v>
      </c>
      <c r="P385" s="79">
        <f t="shared" si="195"/>
        <v>0</v>
      </c>
      <c r="Q385" s="79">
        <f t="shared" si="195"/>
        <v>0</v>
      </c>
      <c r="R385" s="79">
        <f t="shared" si="195"/>
        <v>0</v>
      </c>
      <c r="S385" s="79">
        <f t="shared" si="195"/>
        <v>0</v>
      </c>
      <c r="T385" s="79">
        <f t="shared" si="195"/>
        <v>0</v>
      </c>
    </row>
    <row r="386" spans="1:20" s="25" customFormat="1" ht="25.5" hidden="1">
      <c r="A386" s="17"/>
      <c r="B386" s="142"/>
      <c r="C386" s="82" t="s">
        <v>393</v>
      </c>
      <c r="D386" s="41"/>
      <c r="E386" s="85" t="s">
        <v>140</v>
      </c>
      <c r="F386" s="79">
        <f>F387+F390+F393+F396+F399</f>
        <v>24476.5</v>
      </c>
      <c r="G386" s="79">
        <f aca="true" t="shared" si="196" ref="G386:T386">G387+G390+G393+G396+G399</f>
        <v>20551.31345</v>
      </c>
      <c r="H386" s="79">
        <f t="shared" si="196"/>
        <v>0</v>
      </c>
      <c r="I386" s="79">
        <f t="shared" si="196"/>
        <v>-927.528</v>
      </c>
      <c r="J386" s="79">
        <f t="shared" si="196"/>
        <v>-1964.2907400000001</v>
      </c>
      <c r="K386" s="79">
        <f t="shared" si="196"/>
        <v>-833.33333</v>
      </c>
      <c r="L386" s="79">
        <f t="shared" si="196"/>
        <v>0</v>
      </c>
      <c r="M386" s="96">
        <f t="shared" si="196"/>
        <v>0</v>
      </c>
      <c r="N386" s="79">
        <f t="shared" si="196"/>
        <v>0</v>
      </c>
      <c r="O386" s="115">
        <f t="shared" si="196"/>
        <v>-200.03448</v>
      </c>
      <c r="P386" s="79">
        <f t="shared" si="196"/>
        <v>0</v>
      </c>
      <c r="Q386" s="79">
        <f t="shared" si="196"/>
        <v>0</v>
      </c>
      <c r="R386" s="79">
        <f>R387+R390+R393+R396+R399</f>
        <v>0</v>
      </c>
      <c r="S386" s="79">
        <f>S387+S390+S393+S396+S399</f>
        <v>0</v>
      </c>
      <c r="T386" s="79">
        <f t="shared" si="196"/>
        <v>0</v>
      </c>
    </row>
    <row r="387" spans="1:20" s="25" customFormat="1" ht="12.75" hidden="1">
      <c r="A387" s="17"/>
      <c r="B387" s="142"/>
      <c r="C387" s="41" t="s">
        <v>394</v>
      </c>
      <c r="D387" s="41"/>
      <c r="E387" s="83" t="s">
        <v>396</v>
      </c>
      <c r="F387" s="79">
        <f>F388</f>
        <v>9780</v>
      </c>
      <c r="G387" s="79">
        <f aca="true" t="shared" si="197" ref="G387:T388">G388</f>
        <v>9780</v>
      </c>
      <c r="H387" s="79">
        <f t="shared" si="197"/>
        <v>0</v>
      </c>
      <c r="I387" s="79">
        <f t="shared" si="197"/>
        <v>0</v>
      </c>
      <c r="J387" s="79">
        <f t="shared" si="197"/>
        <v>0</v>
      </c>
      <c r="K387" s="79">
        <f t="shared" si="197"/>
        <v>0</v>
      </c>
      <c r="L387" s="79">
        <f t="shared" si="197"/>
        <v>0</v>
      </c>
      <c r="M387" s="96">
        <f t="shared" si="197"/>
        <v>0</v>
      </c>
      <c r="N387" s="79">
        <f t="shared" si="197"/>
        <v>0</v>
      </c>
      <c r="O387" s="115">
        <f t="shared" si="197"/>
        <v>0</v>
      </c>
      <c r="P387" s="79">
        <f t="shared" si="197"/>
        <v>0</v>
      </c>
      <c r="Q387" s="79">
        <f t="shared" si="197"/>
        <v>0</v>
      </c>
      <c r="R387" s="79">
        <f t="shared" si="197"/>
        <v>0</v>
      </c>
      <c r="S387" s="79">
        <f t="shared" si="197"/>
        <v>0</v>
      </c>
      <c r="T387" s="79">
        <f t="shared" si="197"/>
        <v>0</v>
      </c>
    </row>
    <row r="388" spans="1:20" s="25" customFormat="1" ht="25.5" hidden="1">
      <c r="A388" s="17"/>
      <c r="B388" s="142"/>
      <c r="C388" s="41" t="s">
        <v>395</v>
      </c>
      <c r="D388" s="41"/>
      <c r="E388" s="83" t="s">
        <v>397</v>
      </c>
      <c r="F388" s="79">
        <f>F389</f>
        <v>9780</v>
      </c>
      <c r="G388" s="79">
        <f t="shared" si="197"/>
        <v>9780</v>
      </c>
      <c r="H388" s="79">
        <f t="shared" si="197"/>
        <v>0</v>
      </c>
      <c r="I388" s="79">
        <f t="shared" si="197"/>
        <v>0</v>
      </c>
      <c r="J388" s="79">
        <f t="shared" si="197"/>
        <v>0</v>
      </c>
      <c r="K388" s="79">
        <f t="shared" si="197"/>
        <v>0</v>
      </c>
      <c r="L388" s="79">
        <f t="shared" si="197"/>
        <v>0</v>
      </c>
      <c r="M388" s="96">
        <f t="shared" si="197"/>
        <v>0</v>
      </c>
      <c r="N388" s="79">
        <f t="shared" si="197"/>
        <v>0</v>
      </c>
      <c r="O388" s="115">
        <f t="shared" si="197"/>
        <v>0</v>
      </c>
      <c r="P388" s="79">
        <f t="shared" si="197"/>
        <v>0</v>
      </c>
      <c r="Q388" s="79">
        <f t="shared" si="197"/>
        <v>0</v>
      </c>
      <c r="R388" s="79">
        <f t="shared" si="197"/>
        <v>0</v>
      </c>
      <c r="S388" s="79">
        <f t="shared" si="197"/>
        <v>0</v>
      </c>
      <c r="T388" s="79">
        <f t="shared" si="197"/>
        <v>0</v>
      </c>
    </row>
    <row r="389" spans="1:20" s="25" customFormat="1" ht="25.5" hidden="1">
      <c r="A389" s="17"/>
      <c r="B389" s="142"/>
      <c r="C389" s="63"/>
      <c r="D389" s="41" t="s">
        <v>3</v>
      </c>
      <c r="E389" s="67" t="s">
        <v>95</v>
      </c>
      <c r="F389" s="79">
        <v>9780</v>
      </c>
      <c r="G389" s="79">
        <f>F389+SUM(H389:T389)</f>
        <v>9780</v>
      </c>
      <c r="H389" s="68"/>
      <c r="I389" s="68"/>
      <c r="J389" s="69"/>
      <c r="K389" s="69"/>
      <c r="L389" s="68"/>
      <c r="M389" s="70"/>
      <c r="N389" s="68"/>
      <c r="O389" s="51"/>
      <c r="P389" s="68"/>
      <c r="Q389" s="68"/>
      <c r="R389" s="68"/>
      <c r="S389" s="68"/>
      <c r="T389" s="68"/>
    </row>
    <row r="390" spans="1:20" s="25" customFormat="1" ht="12.75" hidden="1">
      <c r="A390" s="17"/>
      <c r="B390" s="142"/>
      <c r="C390" s="66" t="s">
        <v>398</v>
      </c>
      <c r="D390" s="41"/>
      <c r="E390" s="83" t="s">
        <v>400</v>
      </c>
      <c r="F390" s="79">
        <f>F391</f>
        <v>10724.5</v>
      </c>
      <c r="G390" s="79">
        <f aca="true" t="shared" si="198" ref="G390:T391">G391</f>
        <v>6799.34793</v>
      </c>
      <c r="H390" s="79">
        <f t="shared" si="198"/>
        <v>0</v>
      </c>
      <c r="I390" s="79">
        <f t="shared" si="198"/>
        <v>-1127.528</v>
      </c>
      <c r="J390" s="79">
        <f t="shared" si="198"/>
        <v>-1964.2907400000001</v>
      </c>
      <c r="K390" s="79">
        <f t="shared" si="198"/>
        <v>-833.33333</v>
      </c>
      <c r="L390" s="79">
        <f t="shared" si="198"/>
        <v>0</v>
      </c>
      <c r="M390" s="96">
        <f t="shared" si="198"/>
        <v>0</v>
      </c>
      <c r="N390" s="79">
        <f t="shared" si="198"/>
        <v>0</v>
      </c>
      <c r="O390" s="115">
        <f t="shared" si="198"/>
        <v>0</v>
      </c>
      <c r="P390" s="79">
        <f t="shared" si="198"/>
        <v>0</v>
      </c>
      <c r="Q390" s="79">
        <f t="shared" si="198"/>
        <v>0</v>
      </c>
      <c r="R390" s="79">
        <f t="shared" si="198"/>
        <v>0</v>
      </c>
      <c r="S390" s="79">
        <f t="shared" si="198"/>
        <v>0</v>
      </c>
      <c r="T390" s="79">
        <f t="shared" si="198"/>
        <v>0</v>
      </c>
    </row>
    <row r="391" spans="1:20" s="25" customFormat="1" ht="25.5" hidden="1">
      <c r="A391" s="17"/>
      <c r="B391" s="142"/>
      <c r="C391" s="66" t="s">
        <v>399</v>
      </c>
      <c r="D391" s="41"/>
      <c r="E391" s="83" t="s">
        <v>397</v>
      </c>
      <c r="F391" s="79">
        <f>F392</f>
        <v>10724.5</v>
      </c>
      <c r="G391" s="79">
        <f t="shared" si="198"/>
        <v>6799.34793</v>
      </c>
      <c r="H391" s="79">
        <f t="shared" si="198"/>
        <v>0</v>
      </c>
      <c r="I391" s="79">
        <f t="shared" si="198"/>
        <v>-1127.528</v>
      </c>
      <c r="J391" s="79">
        <f t="shared" si="198"/>
        <v>-1964.2907400000001</v>
      </c>
      <c r="K391" s="79">
        <f t="shared" si="198"/>
        <v>-833.33333</v>
      </c>
      <c r="L391" s="79">
        <f t="shared" si="198"/>
        <v>0</v>
      </c>
      <c r="M391" s="96">
        <f t="shared" si="198"/>
        <v>0</v>
      </c>
      <c r="N391" s="79">
        <f t="shared" si="198"/>
        <v>0</v>
      </c>
      <c r="O391" s="115">
        <f t="shared" si="198"/>
        <v>0</v>
      </c>
      <c r="P391" s="79">
        <f t="shared" si="198"/>
        <v>0</v>
      </c>
      <c r="Q391" s="79">
        <f t="shared" si="198"/>
        <v>0</v>
      </c>
      <c r="R391" s="79">
        <f t="shared" si="198"/>
        <v>0</v>
      </c>
      <c r="S391" s="79">
        <f t="shared" si="198"/>
        <v>0</v>
      </c>
      <c r="T391" s="79">
        <f t="shared" si="198"/>
        <v>0</v>
      </c>
    </row>
    <row r="392" spans="1:20" s="25" customFormat="1" ht="25.5" hidden="1">
      <c r="A392" s="17"/>
      <c r="B392" s="142"/>
      <c r="C392" s="66"/>
      <c r="D392" s="41" t="s">
        <v>3</v>
      </c>
      <c r="E392" s="67" t="s">
        <v>95</v>
      </c>
      <c r="F392" s="79">
        <f>9576.2+148.3+1000</f>
        <v>10724.5</v>
      </c>
      <c r="G392" s="79">
        <f>F392+SUM(H392:T392)</f>
        <v>6799.34793</v>
      </c>
      <c r="H392" s="68"/>
      <c r="I392" s="68">
        <v>-1127.528</v>
      </c>
      <c r="J392" s="65">
        <f>-1938.94-15-10.35074</f>
        <v>-1964.2907400000001</v>
      </c>
      <c r="K392" s="69">
        <v>-833.33333</v>
      </c>
      <c r="L392" s="68"/>
      <c r="M392" s="70"/>
      <c r="N392" s="68"/>
      <c r="O392" s="51"/>
      <c r="P392" s="68"/>
      <c r="Q392" s="68"/>
      <c r="R392" s="68"/>
      <c r="S392" s="68"/>
      <c r="T392" s="68"/>
    </row>
    <row r="393" spans="1:20" s="25" customFormat="1" ht="25.5" hidden="1">
      <c r="A393" s="17"/>
      <c r="B393" s="142"/>
      <c r="C393" s="66" t="s">
        <v>401</v>
      </c>
      <c r="D393" s="41"/>
      <c r="E393" s="83" t="s">
        <v>403</v>
      </c>
      <c r="F393" s="79">
        <f>F394</f>
        <v>100</v>
      </c>
      <c r="G393" s="79">
        <f aca="true" t="shared" si="199" ref="G393:T394">G394</f>
        <v>100</v>
      </c>
      <c r="H393" s="79">
        <f t="shared" si="199"/>
        <v>0</v>
      </c>
      <c r="I393" s="79">
        <f t="shared" si="199"/>
        <v>0</v>
      </c>
      <c r="J393" s="79">
        <f t="shared" si="199"/>
        <v>0</v>
      </c>
      <c r="K393" s="79">
        <f t="shared" si="199"/>
        <v>0</v>
      </c>
      <c r="L393" s="79">
        <f t="shared" si="199"/>
        <v>0</v>
      </c>
      <c r="M393" s="96">
        <f t="shared" si="199"/>
        <v>0</v>
      </c>
      <c r="N393" s="79">
        <f t="shared" si="199"/>
        <v>0</v>
      </c>
      <c r="O393" s="115">
        <f t="shared" si="199"/>
        <v>0</v>
      </c>
      <c r="P393" s="79">
        <f t="shared" si="199"/>
        <v>0</v>
      </c>
      <c r="Q393" s="79">
        <f t="shared" si="199"/>
        <v>0</v>
      </c>
      <c r="R393" s="79">
        <f t="shared" si="199"/>
        <v>0</v>
      </c>
      <c r="S393" s="79">
        <f t="shared" si="199"/>
        <v>0</v>
      </c>
      <c r="T393" s="79">
        <f t="shared" si="199"/>
        <v>0</v>
      </c>
    </row>
    <row r="394" spans="1:20" s="25" customFormat="1" ht="25.5" hidden="1">
      <c r="A394" s="17"/>
      <c r="B394" s="142"/>
      <c r="C394" s="66" t="s">
        <v>402</v>
      </c>
      <c r="D394" s="41"/>
      <c r="E394" s="83" t="s">
        <v>397</v>
      </c>
      <c r="F394" s="79">
        <f>F395</f>
        <v>100</v>
      </c>
      <c r="G394" s="79">
        <f t="shared" si="199"/>
        <v>100</v>
      </c>
      <c r="H394" s="79">
        <f t="shared" si="199"/>
        <v>0</v>
      </c>
      <c r="I394" s="79">
        <f t="shared" si="199"/>
        <v>0</v>
      </c>
      <c r="J394" s="79">
        <f t="shared" si="199"/>
        <v>0</v>
      </c>
      <c r="K394" s="79">
        <f t="shared" si="199"/>
        <v>0</v>
      </c>
      <c r="L394" s="79">
        <f t="shared" si="199"/>
        <v>0</v>
      </c>
      <c r="M394" s="96">
        <f t="shared" si="199"/>
        <v>0</v>
      </c>
      <c r="N394" s="79">
        <f t="shared" si="199"/>
        <v>0</v>
      </c>
      <c r="O394" s="115">
        <f t="shared" si="199"/>
        <v>0</v>
      </c>
      <c r="P394" s="79">
        <f t="shared" si="199"/>
        <v>0</v>
      </c>
      <c r="Q394" s="79">
        <f t="shared" si="199"/>
        <v>0</v>
      </c>
      <c r="R394" s="79">
        <f t="shared" si="199"/>
        <v>0</v>
      </c>
      <c r="S394" s="79">
        <f t="shared" si="199"/>
        <v>0</v>
      </c>
      <c r="T394" s="79">
        <f t="shared" si="199"/>
        <v>0</v>
      </c>
    </row>
    <row r="395" spans="1:20" s="25" customFormat="1" ht="25.5" hidden="1">
      <c r="A395" s="17"/>
      <c r="B395" s="142"/>
      <c r="C395" s="66"/>
      <c r="D395" s="41" t="s">
        <v>3</v>
      </c>
      <c r="E395" s="67" t="s">
        <v>95</v>
      </c>
      <c r="F395" s="79">
        <v>100</v>
      </c>
      <c r="G395" s="79">
        <f>F395+SUM(H395:T395)</f>
        <v>100</v>
      </c>
      <c r="H395" s="68"/>
      <c r="I395" s="68"/>
      <c r="J395" s="69"/>
      <c r="K395" s="69"/>
      <c r="L395" s="68"/>
      <c r="M395" s="70"/>
      <c r="N395" s="68"/>
      <c r="O395" s="51"/>
      <c r="P395" s="68"/>
      <c r="Q395" s="68"/>
      <c r="R395" s="68"/>
      <c r="S395" s="68"/>
      <c r="T395" s="68"/>
    </row>
    <row r="396" spans="1:20" s="25" customFormat="1" ht="12.75" hidden="1">
      <c r="A396" s="17"/>
      <c r="B396" s="142"/>
      <c r="C396" s="66" t="s">
        <v>404</v>
      </c>
      <c r="D396" s="41"/>
      <c r="E396" s="83" t="s">
        <v>406</v>
      </c>
      <c r="F396" s="79">
        <f>F397</f>
        <v>3792</v>
      </c>
      <c r="G396" s="79">
        <f aca="true" t="shared" si="200" ref="G396:T397">G397</f>
        <v>3791.96552</v>
      </c>
      <c r="H396" s="79">
        <f t="shared" si="200"/>
        <v>0</v>
      </c>
      <c r="I396" s="79">
        <f t="shared" si="200"/>
        <v>200</v>
      </c>
      <c r="J396" s="79">
        <f t="shared" si="200"/>
        <v>0</v>
      </c>
      <c r="K396" s="79">
        <f t="shared" si="200"/>
        <v>0</v>
      </c>
      <c r="L396" s="79">
        <f t="shared" si="200"/>
        <v>0</v>
      </c>
      <c r="M396" s="96">
        <f t="shared" si="200"/>
        <v>0</v>
      </c>
      <c r="N396" s="79">
        <f t="shared" si="200"/>
        <v>0</v>
      </c>
      <c r="O396" s="115">
        <f t="shared" si="200"/>
        <v>-200.03448</v>
      </c>
      <c r="P396" s="79">
        <f t="shared" si="200"/>
        <v>0</v>
      </c>
      <c r="Q396" s="79">
        <f t="shared" si="200"/>
        <v>0</v>
      </c>
      <c r="R396" s="79">
        <f t="shared" si="200"/>
        <v>0</v>
      </c>
      <c r="S396" s="79">
        <f t="shared" si="200"/>
        <v>0</v>
      </c>
      <c r="T396" s="79">
        <f t="shared" si="200"/>
        <v>0</v>
      </c>
    </row>
    <row r="397" spans="1:20" s="25" customFormat="1" ht="25.5" hidden="1">
      <c r="A397" s="17"/>
      <c r="B397" s="142"/>
      <c r="C397" s="66" t="s">
        <v>405</v>
      </c>
      <c r="D397" s="41"/>
      <c r="E397" s="83" t="s">
        <v>397</v>
      </c>
      <c r="F397" s="79">
        <f>F398</f>
        <v>3792</v>
      </c>
      <c r="G397" s="79">
        <f t="shared" si="200"/>
        <v>3791.96552</v>
      </c>
      <c r="H397" s="79">
        <f t="shared" si="200"/>
        <v>0</v>
      </c>
      <c r="I397" s="79">
        <f t="shared" si="200"/>
        <v>200</v>
      </c>
      <c r="J397" s="79">
        <f t="shared" si="200"/>
        <v>0</v>
      </c>
      <c r="K397" s="79">
        <f t="shared" si="200"/>
        <v>0</v>
      </c>
      <c r="L397" s="79">
        <f t="shared" si="200"/>
        <v>0</v>
      </c>
      <c r="M397" s="96">
        <f t="shared" si="200"/>
        <v>0</v>
      </c>
      <c r="N397" s="79">
        <f t="shared" si="200"/>
        <v>0</v>
      </c>
      <c r="O397" s="115">
        <f t="shared" si="200"/>
        <v>-200.03448</v>
      </c>
      <c r="P397" s="79">
        <f t="shared" si="200"/>
        <v>0</v>
      </c>
      <c r="Q397" s="79">
        <f t="shared" si="200"/>
        <v>0</v>
      </c>
      <c r="R397" s="79">
        <f t="shared" si="200"/>
        <v>0</v>
      </c>
      <c r="S397" s="79">
        <f t="shared" si="200"/>
        <v>0</v>
      </c>
      <c r="T397" s="79">
        <f t="shared" si="200"/>
        <v>0</v>
      </c>
    </row>
    <row r="398" spans="1:20" s="25" customFormat="1" ht="25.5" hidden="1">
      <c r="A398" s="17"/>
      <c r="B398" s="142"/>
      <c r="C398" s="66"/>
      <c r="D398" s="41" t="s">
        <v>3</v>
      </c>
      <c r="E398" s="67" t="s">
        <v>95</v>
      </c>
      <c r="F398" s="79">
        <v>3792</v>
      </c>
      <c r="G398" s="79">
        <f>F398+SUM(H398:T398)</f>
        <v>3791.96552</v>
      </c>
      <c r="H398" s="68"/>
      <c r="I398" s="68">
        <v>200</v>
      </c>
      <c r="J398" s="69"/>
      <c r="K398" s="69"/>
      <c r="L398" s="68"/>
      <c r="M398" s="70"/>
      <c r="N398" s="68"/>
      <c r="O398" s="51">
        <f>-200.01448-0.02</f>
        <v>-200.03448</v>
      </c>
      <c r="P398" s="68"/>
      <c r="Q398" s="68"/>
      <c r="R398" s="68"/>
      <c r="S398" s="68"/>
      <c r="T398" s="68"/>
    </row>
    <row r="399" spans="1:20" s="25" customFormat="1" ht="38.25" hidden="1">
      <c r="A399" s="17"/>
      <c r="B399" s="142"/>
      <c r="C399" s="66" t="s">
        <v>407</v>
      </c>
      <c r="D399" s="41"/>
      <c r="E399" s="83" t="s">
        <v>409</v>
      </c>
      <c r="F399" s="79">
        <f>F400</f>
        <v>80</v>
      </c>
      <c r="G399" s="79">
        <f aca="true" t="shared" si="201" ref="G399:T400">G400</f>
        <v>80</v>
      </c>
      <c r="H399" s="79">
        <f t="shared" si="201"/>
        <v>0</v>
      </c>
      <c r="I399" s="79">
        <f t="shared" si="201"/>
        <v>0</v>
      </c>
      <c r="J399" s="79">
        <f t="shared" si="201"/>
        <v>0</v>
      </c>
      <c r="K399" s="79">
        <f t="shared" si="201"/>
        <v>0</v>
      </c>
      <c r="L399" s="79">
        <f t="shared" si="201"/>
        <v>0</v>
      </c>
      <c r="M399" s="96">
        <f t="shared" si="201"/>
        <v>0</v>
      </c>
      <c r="N399" s="79">
        <f t="shared" si="201"/>
        <v>0</v>
      </c>
      <c r="O399" s="115">
        <f t="shared" si="201"/>
        <v>0</v>
      </c>
      <c r="P399" s="79">
        <f t="shared" si="201"/>
        <v>0</v>
      </c>
      <c r="Q399" s="79">
        <f t="shared" si="201"/>
        <v>0</v>
      </c>
      <c r="R399" s="79">
        <f t="shared" si="201"/>
        <v>0</v>
      </c>
      <c r="S399" s="79">
        <f t="shared" si="201"/>
        <v>0</v>
      </c>
      <c r="T399" s="79">
        <f t="shared" si="201"/>
        <v>0</v>
      </c>
    </row>
    <row r="400" spans="1:20" s="25" customFormat="1" ht="25.5" hidden="1">
      <c r="A400" s="17"/>
      <c r="B400" s="142"/>
      <c r="C400" s="66" t="s">
        <v>408</v>
      </c>
      <c r="D400" s="41"/>
      <c r="E400" s="83" t="s">
        <v>397</v>
      </c>
      <c r="F400" s="79">
        <f>F401</f>
        <v>80</v>
      </c>
      <c r="G400" s="79">
        <f t="shared" si="201"/>
        <v>80</v>
      </c>
      <c r="H400" s="79">
        <f t="shared" si="201"/>
        <v>0</v>
      </c>
      <c r="I400" s="79">
        <f t="shared" si="201"/>
        <v>0</v>
      </c>
      <c r="J400" s="79">
        <f t="shared" si="201"/>
        <v>0</v>
      </c>
      <c r="K400" s="79">
        <f t="shared" si="201"/>
        <v>0</v>
      </c>
      <c r="L400" s="79">
        <f t="shared" si="201"/>
        <v>0</v>
      </c>
      <c r="M400" s="96">
        <f t="shared" si="201"/>
        <v>0</v>
      </c>
      <c r="N400" s="79">
        <f t="shared" si="201"/>
        <v>0</v>
      </c>
      <c r="O400" s="115">
        <f t="shared" si="201"/>
        <v>0</v>
      </c>
      <c r="P400" s="79">
        <f t="shared" si="201"/>
        <v>0</v>
      </c>
      <c r="Q400" s="79">
        <f t="shared" si="201"/>
        <v>0</v>
      </c>
      <c r="R400" s="79">
        <f t="shared" si="201"/>
        <v>0</v>
      </c>
      <c r="S400" s="79">
        <f t="shared" si="201"/>
        <v>0</v>
      </c>
      <c r="T400" s="79">
        <f t="shared" si="201"/>
        <v>0</v>
      </c>
    </row>
    <row r="401" spans="1:20" s="25" customFormat="1" ht="25.5" hidden="1">
      <c r="A401" s="17"/>
      <c r="B401" s="142"/>
      <c r="C401" s="66"/>
      <c r="D401" s="41" t="s">
        <v>3</v>
      </c>
      <c r="E401" s="67" t="s">
        <v>95</v>
      </c>
      <c r="F401" s="79">
        <v>80</v>
      </c>
      <c r="G401" s="79">
        <f>F401+SUM(H401:T401)</f>
        <v>80</v>
      </c>
      <c r="H401" s="68"/>
      <c r="I401" s="68"/>
      <c r="J401" s="69"/>
      <c r="K401" s="69"/>
      <c r="L401" s="68"/>
      <c r="M401" s="70"/>
      <c r="N401" s="68"/>
      <c r="O401" s="51"/>
      <c r="P401" s="68"/>
      <c r="Q401" s="68"/>
      <c r="R401" s="68"/>
      <c r="S401" s="68"/>
      <c r="T401" s="68"/>
    </row>
    <row r="402" spans="1:20" s="25" customFormat="1" ht="51">
      <c r="A402" s="17"/>
      <c r="B402" s="142"/>
      <c r="C402" s="63" t="s">
        <v>530</v>
      </c>
      <c r="D402" s="11"/>
      <c r="E402" s="113" t="s">
        <v>531</v>
      </c>
      <c r="F402" s="95">
        <f>F403+F408</f>
        <v>0</v>
      </c>
      <c r="G402" s="95">
        <f aca="true" t="shared" si="202" ref="G402:T402">G403+G408</f>
        <v>13467.513200000001</v>
      </c>
      <c r="H402" s="95">
        <f t="shared" si="202"/>
        <v>0</v>
      </c>
      <c r="I402" s="95">
        <f t="shared" si="202"/>
        <v>0</v>
      </c>
      <c r="J402" s="95">
        <f t="shared" si="202"/>
        <v>0</v>
      </c>
      <c r="K402" s="95">
        <f t="shared" si="202"/>
        <v>0</v>
      </c>
      <c r="L402" s="95">
        <f t="shared" si="202"/>
        <v>13414</v>
      </c>
      <c r="M402" s="131">
        <f t="shared" si="202"/>
        <v>53.513200000000005</v>
      </c>
      <c r="N402" s="95">
        <f t="shared" si="202"/>
        <v>0</v>
      </c>
      <c r="O402" s="184">
        <f t="shared" si="202"/>
        <v>0</v>
      </c>
      <c r="P402" s="95">
        <f t="shared" si="202"/>
        <v>0</v>
      </c>
      <c r="Q402" s="95">
        <f t="shared" si="202"/>
        <v>0</v>
      </c>
      <c r="R402" s="95">
        <f>R403+R408</f>
        <v>0</v>
      </c>
      <c r="S402" s="95">
        <f>S403+S408</f>
        <v>0</v>
      </c>
      <c r="T402" s="95">
        <f t="shared" si="202"/>
        <v>0</v>
      </c>
    </row>
    <row r="403" spans="1:20" s="25" customFormat="1" ht="25.5">
      <c r="A403" s="17"/>
      <c r="B403" s="142"/>
      <c r="C403" s="66" t="s">
        <v>532</v>
      </c>
      <c r="D403" s="41"/>
      <c r="E403" s="67" t="s">
        <v>533</v>
      </c>
      <c r="F403" s="79">
        <f>F404+F406</f>
        <v>0</v>
      </c>
      <c r="G403" s="79">
        <f aca="true" t="shared" si="203" ref="G403:S403">G404+G406</f>
        <v>8942.64493</v>
      </c>
      <c r="H403" s="79">
        <f t="shared" si="203"/>
        <v>0</v>
      </c>
      <c r="I403" s="79">
        <f t="shared" si="203"/>
        <v>0</v>
      </c>
      <c r="J403" s="79">
        <f t="shared" si="203"/>
        <v>0</v>
      </c>
      <c r="K403" s="79">
        <f t="shared" si="203"/>
        <v>0</v>
      </c>
      <c r="L403" s="79">
        <f t="shared" si="203"/>
        <v>8942.7</v>
      </c>
      <c r="M403" s="79">
        <f t="shared" si="203"/>
        <v>-0.05507</v>
      </c>
      <c r="N403" s="79">
        <f t="shared" si="203"/>
        <v>0</v>
      </c>
      <c r="O403" s="79">
        <f t="shared" si="203"/>
        <v>0</v>
      </c>
      <c r="P403" s="79">
        <f t="shared" si="203"/>
        <v>0</v>
      </c>
      <c r="Q403" s="79">
        <f t="shared" si="203"/>
        <v>0</v>
      </c>
      <c r="R403" s="79">
        <f t="shared" si="203"/>
        <v>0</v>
      </c>
      <c r="S403" s="79">
        <f t="shared" si="203"/>
        <v>0</v>
      </c>
      <c r="T403" s="79">
        <f aca="true" t="shared" si="204" ref="G403:T404">T404</f>
        <v>0</v>
      </c>
    </row>
    <row r="404" spans="1:20" s="25" customFormat="1" ht="25.5">
      <c r="A404" s="17"/>
      <c r="B404" s="142"/>
      <c r="C404" s="66" t="s">
        <v>534</v>
      </c>
      <c r="D404" s="41"/>
      <c r="E404" s="67" t="s">
        <v>536</v>
      </c>
      <c r="F404" s="79">
        <f>F405</f>
        <v>0</v>
      </c>
      <c r="G404" s="79">
        <f t="shared" si="204"/>
        <v>0</v>
      </c>
      <c r="H404" s="79">
        <f t="shared" si="204"/>
        <v>0</v>
      </c>
      <c r="I404" s="79">
        <f t="shared" si="204"/>
        <v>0</v>
      </c>
      <c r="J404" s="79">
        <f t="shared" si="204"/>
        <v>0</v>
      </c>
      <c r="K404" s="79">
        <f t="shared" si="204"/>
        <v>0</v>
      </c>
      <c r="L404" s="79">
        <f t="shared" si="204"/>
        <v>8942.7</v>
      </c>
      <c r="M404" s="96">
        <f t="shared" si="204"/>
        <v>-0.05507</v>
      </c>
      <c r="N404" s="79">
        <f t="shared" si="204"/>
        <v>0</v>
      </c>
      <c r="O404" s="115">
        <f t="shared" si="204"/>
        <v>0</v>
      </c>
      <c r="P404" s="79">
        <f t="shared" si="204"/>
        <v>0</v>
      </c>
      <c r="Q404" s="79">
        <f t="shared" si="204"/>
        <v>0</v>
      </c>
      <c r="R404" s="79">
        <f t="shared" si="204"/>
        <v>0</v>
      </c>
      <c r="S404" s="79">
        <f t="shared" si="204"/>
        <v>-8942.64493</v>
      </c>
      <c r="T404" s="79">
        <f t="shared" si="204"/>
        <v>0</v>
      </c>
    </row>
    <row r="405" spans="1:20" s="25" customFormat="1" ht="25.5">
      <c r="A405" s="17"/>
      <c r="B405" s="142"/>
      <c r="C405" s="66"/>
      <c r="D405" s="41" t="s">
        <v>3</v>
      </c>
      <c r="E405" s="67" t="s">
        <v>95</v>
      </c>
      <c r="F405" s="79"/>
      <c r="G405" s="79">
        <f>F405+SUM(H405:T405)</f>
        <v>0</v>
      </c>
      <c r="H405" s="68"/>
      <c r="I405" s="68"/>
      <c r="J405" s="69"/>
      <c r="K405" s="69"/>
      <c r="L405" s="68">
        <v>8942.7</v>
      </c>
      <c r="M405" s="70">
        <f>-0.05507</f>
        <v>-0.05507</v>
      </c>
      <c r="N405" s="68"/>
      <c r="O405" s="51"/>
      <c r="P405" s="68"/>
      <c r="Q405" s="68"/>
      <c r="R405" s="68"/>
      <c r="S405" s="68">
        <v>-8942.64493</v>
      </c>
      <c r="T405" s="68"/>
    </row>
    <row r="406" spans="1:20" s="25" customFormat="1" ht="25.5">
      <c r="A406" s="17"/>
      <c r="B406" s="142"/>
      <c r="C406" s="66" t="s">
        <v>560</v>
      </c>
      <c r="D406" s="41"/>
      <c r="E406" s="67" t="s">
        <v>536</v>
      </c>
      <c r="F406" s="79">
        <f>F407</f>
        <v>0</v>
      </c>
      <c r="G406" s="79">
        <f aca="true" t="shared" si="205" ref="G406:S406">G407</f>
        <v>8942.64493</v>
      </c>
      <c r="H406" s="79">
        <f t="shared" si="205"/>
        <v>0</v>
      </c>
      <c r="I406" s="79">
        <f t="shared" si="205"/>
        <v>0</v>
      </c>
      <c r="J406" s="79">
        <f t="shared" si="205"/>
        <v>0</v>
      </c>
      <c r="K406" s="79">
        <f t="shared" si="205"/>
        <v>0</v>
      </c>
      <c r="L406" s="79">
        <f t="shared" si="205"/>
        <v>0</v>
      </c>
      <c r="M406" s="79">
        <f t="shared" si="205"/>
        <v>0</v>
      </c>
      <c r="N406" s="79">
        <f t="shared" si="205"/>
        <v>0</v>
      </c>
      <c r="O406" s="79">
        <f t="shared" si="205"/>
        <v>0</v>
      </c>
      <c r="P406" s="79">
        <f t="shared" si="205"/>
        <v>0</v>
      </c>
      <c r="Q406" s="79">
        <f t="shared" si="205"/>
        <v>0</v>
      </c>
      <c r="R406" s="79">
        <f t="shared" si="205"/>
        <v>0</v>
      </c>
      <c r="S406" s="79">
        <f t="shared" si="205"/>
        <v>8942.64493</v>
      </c>
      <c r="T406" s="68"/>
    </row>
    <row r="407" spans="1:20" s="25" customFormat="1" ht="25.5">
      <c r="A407" s="17"/>
      <c r="B407" s="142"/>
      <c r="C407" s="66"/>
      <c r="D407" s="41" t="s">
        <v>3</v>
      </c>
      <c r="E407" s="67" t="s">
        <v>95</v>
      </c>
      <c r="F407" s="79"/>
      <c r="G407" s="79">
        <f>F407+SUM(H407:T407)</f>
        <v>8942.64493</v>
      </c>
      <c r="H407" s="68"/>
      <c r="I407" s="68"/>
      <c r="J407" s="69"/>
      <c r="K407" s="69"/>
      <c r="L407" s="68"/>
      <c r="M407" s="70"/>
      <c r="N407" s="68"/>
      <c r="O407" s="51"/>
      <c r="P407" s="68"/>
      <c r="Q407" s="68"/>
      <c r="R407" s="68"/>
      <c r="S407" s="68">
        <v>8942.64493</v>
      </c>
      <c r="T407" s="68"/>
    </row>
    <row r="408" spans="1:20" s="25" customFormat="1" ht="38.25">
      <c r="A408" s="17"/>
      <c r="B408" s="142"/>
      <c r="C408" s="66" t="s">
        <v>537</v>
      </c>
      <c r="D408" s="41"/>
      <c r="E408" s="67" t="s">
        <v>538</v>
      </c>
      <c r="F408" s="79">
        <f>F409+F411</f>
        <v>0</v>
      </c>
      <c r="G408" s="79">
        <f aca="true" t="shared" si="206" ref="G408:S408">G409+G411</f>
        <v>4524.86827</v>
      </c>
      <c r="H408" s="79">
        <f t="shared" si="206"/>
        <v>0</v>
      </c>
      <c r="I408" s="79">
        <f t="shared" si="206"/>
        <v>0</v>
      </c>
      <c r="J408" s="79">
        <f t="shared" si="206"/>
        <v>0</v>
      </c>
      <c r="K408" s="79">
        <f t="shared" si="206"/>
        <v>0</v>
      </c>
      <c r="L408" s="79">
        <f t="shared" si="206"/>
        <v>4471.3</v>
      </c>
      <c r="M408" s="79">
        <f t="shared" si="206"/>
        <v>53.568270000000005</v>
      </c>
      <c r="N408" s="79">
        <f t="shared" si="206"/>
        <v>0</v>
      </c>
      <c r="O408" s="79">
        <f t="shared" si="206"/>
        <v>0</v>
      </c>
      <c r="P408" s="79">
        <f t="shared" si="206"/>
        <v>0</v>
      </c>
      <c r="Q408" s="79">
        <f t="shared" si="206"/>
        <v>0</v>
      </c>
      <c r="R408" s="79">
        <f t="shared" si="206"/>
        <v>0</v>
      </c>
      <c r="S408" s="79">
        <f t="shared" si="206"/>
        <v>0</v>
      </c>
      <c r="T408" s="79">
        <f aca="true" t="shared" si="207" ref="G408:T409">T409</f>
        <v>0</v>
      </c>
    </row>
    <row r="409" spans="1:20" s="25" customFormat="1" ht="25.5">
      <c r="A409" s="17"/>
      <c r="B409" s="142"/>
      <c r="C409" s="66" t="s">
        <v>540</v>
      </c>
      <c r="D409" s="41"/>
      <c r="E409" s="67" t="s">
        <v>536</v>
      </c>
      <c r="F409" s="79">
        <f>F410</f>
        <v>0</v>
      </c>
      <c r="G409" s="79">
        <f t="shared" si="207"/>
        <v>0</v>
      </c>
      <c r="H409" s="79">
        <f t="shared" si="207"/>
        <v>0</v>
      </c>
      <c r="I409" s="79">
        <f t="shared" si="207"/>
        <v>0</v>
      </c>
      <c r="J409" s="79">
        <f t="shared" si="207"/>
        <v>0</v>
      </c>
      <c r="K409" s="79">
        <f t="shared" si="207"/>
        <v>0</v>
      </c>
      <c r="L409" s="79">
        <f t="shared" si="207"/>
        <v>4471.3</v>
      </c>
      <c r="M409" s="96">
        <f t="shared" si="207"/>
        <v>53.568270000000005</v>
      </c>
      <c r="N409" s="79">
        <f t="shared" si="207"/>
        <v>0</v>
      </c>
      <c r="O409" s="115">
        <f t="shared" si="207"/>
        <v>0</v>
      </c>
      <c r="P409" s="79">
        <f t="shared" si="207"/>
        <v>0</v>
      </c>
      <c r="Q409" s="79">
        <f t="shared" si="207"/>
        <v>0</v>
      </c>
      <c r="R409" s="79">
        <f t="shared" si="207"/>
        <v>0</v>
      </c>
      <c r="S409" s="79">
        <f t="shared" si="207"/>
        <v>-4524.86827</v>
      </c>
      <c r="T409" s="79">
        <f t="shared" si="207"/>
        <v>0</v>
      </c>
    </row>
    <row r="410" spans="1:20" s="25" customFormat="1" ht="25.5">
      <c r="A410" s="17"/>
      <c r="B410" s="142"/>
      <c r="C410" s="66"/>
      <c r="D410" s="41" t="s">
        <v>3</v>
      </c>
      <c r="E410" s="67" t="s">
        <v>95</v>
      </c>
      <c r="F410" s="79"/>
      <c r="G410" s="79">
        <f>F410+SUM(H410:T410)</f>
        <v>0</v>
      </c>
      <c r="H410" s="68"/>
      <c r="I410" s="68"/>
      <c r="J410" s="69"/>
      <c r="K410" s="69"/>
      <c r="L410" s="68">
        <v>4471.3</v>
      </c>
      <c r="M410" s="70">
        <f>0.02246+53.54581</f>
        <v>53.568270000000005</v>
      </c>
      <c r="N410" s="68"/>
      <c r="O410" s="51"/>
      <c r="P410" s="68"/>
      <c r="Q410" s="68"/>
      <c r="R410" s="68"/>
      <c r="S410" s="68">
        <f>-4471.32246-53.54581</f>
        <v>-4524.86827</v>
      </c>
      <c r="T410" s="68"/>
    </row>
    <row r="411" spans="1:20" s="25" customFormat="1" ht="25.5">
      <c r="A411" s="17"/>
      <c r="B411" s="142"/>
      <c r="C411" s="66" t="s">
        <v>539</v>
      </c>
      <c r="D411" s="41"/>
      <c r="E411" s="67" t="s">
        <v>536</v>
      </c>
      <c r="F411" s="79">
        <f>F412</f>
        <v>0</v>
      </c>
      <c r="G411" s="79">
        <f aca="true" t="shared" si="208" ref="G411:S411">G412</f>
        <v>4524.86827</v>
      </c>
      <c r="H411" s="79">
        <f t="shared" si="208"/>
        <v>0</v>
      </c>
      <c r="I411" s="79">
        <f t="shared" si="208"/>
        <v>0</v>
      </c>
      <c r="J411" s="79">
        <f t="shared" si="208"/>
        <v>0</v>
      </c>
      <c r="K411" s="79">
        <f t="shared" si="208"/>
        <v>0</v>
      </c>
      <c r="L411" s="79">
        <f t="shared" si="208"/>
        <v>0</v>
      </c>
      <c r="M411" s="79">
        <f t="shared" si="208"/>
        <v>0</v>
      </c>
      <c r="N411" s="79">
        <f t="shared" si="208"/>
        <v>0</v>
      </c>
      <c r="O411" s="79">
        <f t="shared" si="208"/>
        <v>0</v>
      </c>
      <c r="P411" s="79">
        <f t="shared" si="208"/>
        <v>0</v>
      </c>
      <c r="Q411" s="79">
        <f t="shared" si="208"/>
        <v>0</v>
      </c>
      <c r="R411" s="79">
        <f t="shared" si="208"/>
        <v>0</v>
      </c>
      <c r="S411" s="79">
        <f t="shared" si="208"/>
        <v>4524.86827</v>
      </c>
      <c r="T411" s="68"/>
    </row>
    <row r="412" spans="1:20" s="25" customFormat="1" ht="25.5">
      <c r="A412" s="17"/>
      <c r="B412" s="142"/>
      <c r="C412" s="66"/>
      <c r="D412" s="41" t="s">
        <v>3</v>
      </c>
      <c r="E412" s="67" t="s">
        <v>95</v>
      </c>
      <c r="F412" s="79"/>
      <c r="G412" s="79">
        <f>F412+SUM(H412:T412)</f>
        <v>4524.86827</v>
      </c>
      <c r="H412" s="68"/>
      <c r="I412" s="68"/>
      <c r="J412" s="69"/>
      <c r="K412" s="69"/>
      <c r="L412" s="68"/>
      <c r="M412" s="70"/>
      <c r="N412" s="68"/>
      <c r="O412" s="51"/>
      <c r="P412" s="68"/>
      <c r="Q412" s="68"/>
      <c r="R412" s="68"/>
      <c r="S412" s="68">
        <f>4471.32246+53.54581</f>
        <v>4524.86827</v>
      </c>
      <c r="T412" s="68"/>
    </row>
    <row r="413" spans="1:20" s="25" customFormat="1" ht="25.5" hidden="1">
      <c r="A413" s="5"/>
      <c r="B413" s="11" t="s">
        <v>78</v>
      </c>
      <c r="C413" s="63"/>
      <c r="D413" s="11"/>
      <c r="E413" s="111" t="s">
        <v>79</v>
      </c>
      <c r="F413" s="95">
        <f>F414+F421</f>
        <v>12519.1</v>
      </c>
      <c r="G413" s="95">
        <f aca="true" t="shared" si="209" ref="G413:T413">G414+G421</f>
        <v>13093</v>
      </c>
      <c r="H413" s="95">
        <f t="shared" si="209"/>
        <v>0</v>
      </c>
      <c r="I413" s="95">
        <f t="shared" si="209"/>
        <v>0</v>
      </c>
      <c r="J413" s="95">
        <f t="shared" si="209"/>
        <v>411.90000000000003</v>
      </c>
      <c r="K413" s="95">
        <f t="shared" si="209"/>
        <v>0</v>
      </c>
      <c r="L413" s="95">
        <f t="shared" si="209"/>
        <v>20</v>
      </c>
      <c r="M413" s="131">
        <f t="shared" si="209"/>
        <v>0</v>
      </c>
      <c r="N413" s="95">
        <f t="shared" si="209"/>
        <v>0</v>
      </c>
      <c r="O413" s="184">
        <f t="shared" si="209"/>
        <v>0</v>
      </c>
      <c r="P413" s="95">
        <f t="shared" si="209"/>
        <v>0</v>
      </c>
      <c r="Q413" s="95">
        <f t="shared" si="209"/>
        <v>142</v>
      </c>
      <c r="R413" s="95">
        <f>R414+R421</f>
        <v>0</v>
      </c>
      <c r="S413" s="95">
        <f>S414+S421</f>
        <v>0</v>
      </c>
      <c r="T413" s="95">
        <f t="shared" si="209"/>
        <v>0</v>
      </c>
    </row>
    <row r="414" spans="1:20" s="25" customFormat="1" ht="25.5" hidden="1">
      <c r="A414" s="17"/>
      <c r="B414" s="17"/>
      <c r="C414" s="63" t="s">
        <v>324</v>
      </c>
      <c r="D414" s="11"/>
      <c r="E414" s="60" t="s">
        <v>129</v>
      </c>
      <c r="F414" s="94">
        <f>F415</f>
        <v>5111.2</v>
      </c>
      <c r="G414" s="94">
        <f aca="true" t="shared" si="210" ref="G414:T414">G415</f>
        <v>5510.5</v>
      </c>
      <c r="H414" s="71">
        <f t="shared" si="210"/>
        <v>0</v>
      </c>
      <c r="I414" s="71">
        <f t="shared" si="210"/>
        <v>0</v>
      </c>
      <c r="J414" s="71">
        <f t="shared" si="210"/>
        <v>399.3</v>
      </c>
      <c r="K414" s="71">
        <f t="shared" si="210"/>
        <v>0</v>
      </c>
      <c r="L414" s="71">
        <f t="shared" si="210"/>
        <v>0</v>
      </c>
      <c r="M414" s="156">
        <f t="shared" si="210"/>
        <v>0</v>
      </c>
      <c r="N414" s="71">
        <f t="shared" si="210"/>
        <v>0</v>
      </c>
      <c r="O414" s="190">
        <f t="shared" si="210"/>
        <v>0</v>
      </c>
      <c r="P414" s="71">
        <f t="shared" si="210"/>
        <v>0</v>
      </c>
      <c r="Q414" s="71">
        <f t="shared" si="210"/>
        <v>0</v>
      </c>
      <c r="R414" s="71">
        <f t="shared" si="210"/>
        <v>0</v>
      </c>
      <c r="S414" s="71">
        <f t="shared" si="210"/>
        <v>0</v>
      </c>
      <c r="T414" s="71">
        <f t="shared" si="210"/>
        <v>0</v>
      </c>
    </row>
    <row r="415" spans="1:20" s="25" customFormat="1" ht="51" hidden="1">
      <c r="A415" s="17"/>
      <c r="B415" s="17"/>
      <c r="C415" s="82" t="s">
        <v>335</v>
      </c>
      <c r="D415" s="41"/>
      <c r="E415" s="104" t="s">
        <v>132</v>
      </c>
      <c r="F415" s="79">
        <f>F416</f>
        <v>5111.2</v>
      </c>
      <c r="G415" s="79">
        <f aca="true" t="shared" si="211" ref="G415:T416">G416</f>
        <v>5510.5</v>
      </c>
      <c r="H415" s="68">
        <f t="shared" si="211"/>
        <v>0</v>
      </c>
      <c r="I415" s="68">
        <f t="shared" si="211"/>
        <v>0</v>
      </c>
      <c r="J415" s="68">
        <f t="shared" si="211"/>
        <v>399.3</v>
      </c>
      <c r="K415" s="68">
        <f t="shared" si="211"/>
        <v>0</v>
      </c>
      <c r="L415" s="68">
        <f t="shared" si="211"/>
        <v>0</v>
      </c>
      <c r="M415" s="70">
        <f t="shared" si="211"/>
        <v>0</v>
      </c>
      <c r="N415" s="68">
        <f t="shared" si="211"/>
        <v>0</v>
      </c>
      <c r="O415" s="51">
        <f t="shared" si="211"/>
        <v>0</v>
      </c>
      <c r="P415" s="68">
        <f t="shared" si="211"/>
        <v>0</v>
      </c>
      <c r="Q415" s="68">
        <f t="shared" si="211"/>
        <v>0</v>
      </c>
      <c r="R415" s="68">
        <f t="shared" si="211"/>
        <v>0</v>
      </c>
      <c r="S415" s="68">
        <f t="shared" si="211"/>
        <v>0</v>
      </c>
      <c r="T415" s="68">
        <f t="shared" si="211"/>
        <v>0</v>
      </c>
    </row>
    <row r="416" spans="1:20" s="25" customFormat="1" ht="25.5" hidden="1">
      <c r="A416" s="17"/>
      <c r="B416" s="17"/>
      <c r="C416" s="66" t="s">
        <v>336</v>
      </c>
      <c r="D416" s="41"/>
      <c r="E416" s="57" t="s">
        <v>338</v>
      </c>
      <c r="F416" s="79">
        <f>F417</f>
        <v>5111.2</v>
      </c>
      <c r="G416" s="79">
        <f t="shared" si="211"/>
        <v>5510.5</v>
      </c>
      <c r="H416" s="68">
        <f t="shared" si="211"/>
        <v>0</v>
      </c>
      <c r="I416" s="68">
        <f t="shared" si="211"/>
        <v>0</v>
      </c>
      <c r="J416" s="68">
        <f t="shared" si="211"/>
        <v>399.3</v>
      </c>
      <c r="K416" s="68">
        <f t="shared" si="211"/>
        <v>0</v>
      </c>
      <c r="L416" s="68">
        <f t="shared" si="211"/>
        <v>0</v>
      </c>
      <c r="M416" s="70">
        <f t="shared" si="211"/>
        <v>0</v>
      </c>
      <c r="N416" s="68">
        <f t="shared" si="211"/>
        <v>0</v>
      </c>
      <c r="O416" s="51">
        <f t="shared" si="211"/>
        <v>0</v>
      </c>
      <c r="P416" s="68">
        <f t="shared" si="211"/>
        <v>0</v>
      </c>
      <c r="Q416" s="68">
        <f t="shared" si="211"/>
        <v>0</v>
      </c>
      <c r="R416" s="68">
        <f t="shared" si="211"/>
        <v>0</v>
      </c>
      <c r="S416" s="68">
        <f t="shared" si="211"/>
        <v>0</v>
      </c>
      <c r="T416" s="68">
        <f t="shared" si="211"/>
        <v>0</v>
      </c>
    </row>
    <row r="417" spans="1:20" s="25" customFormat="1" ht="25.5" hidden="1">
      <c r="A417" s="17"/>
      <c r="B417" s="17"/>
      <c r="C417" s="66" t="s">
        <v>337</v>
      </c>
      <c r="D417" s="41"/>
      <c r="E417" s="57" t="s">
        <v>278</v>
      </c>
      <c r="F417" s="79">
        <f>F418+F419+F420</f>
        <v>5111.2</v>
      </c>
      <c r="G417" s="79">
        <f aca="true" t="shared" si="212" ref="G417:T417">G418+G419+G420</f>
        <v>5510.5</v>
      </c>
      <c r="H417" s="68">
        <f t="shared" si="212"/>
        <v>0</v>
      </c>
      <c r="I417" s="68">
        <f t="shared" si="212"/>
        <v>0</v>
      </c>
      <c r="J417" s="68">
        <f t="shared" si="212"/>
        <v>399.3</v>
      </c>
      <c r="K417" s="68">
        <f t="shared" si="212"/>
        <v>0</v>
      </c>
      <c r="L417" s="68">
        <f t="shared" si="212"/>
        <v>0</v>
      </c>
      <c r="M417" s="70">
        <f t="shared" si="212"/>
        <v>0</v>
      </c>
      <c r="N417" s="68">
        <f t="shared" si="212"/>
        <v>0</v>
      </c>
      <c r="O417" s="51">
        <f t="shared" si="212"/>
        <v>0</v>
      </c>
      <c r="P417" s="68">
        <f t="shared" si="212"/>
        <v>0</v>
      </c>
      <c r="Q417" s="68">
        <f t="shared" si="212"/>
        <v>0</v>
      </c>
      <c r="R417" s="68">
        <f>R418+R419+R420</f>
        <v>0</v>
      </c>
      <c r="S417" s="68">
        <f>S418+S419+S420</f>
        <v>0</v>
      </c>
      <c r="T417" s="68">
        <f t="shared" si="212"/>
        <v>0</v>
      </c>
    </row>
    <row r="418" spans="1:20" s="25" customFormat="1" ht="51" hidden="1">
      <c r="A418" s="17"/>
      <c r="B418" s="17"/>
      <c r="C418" s="66"/>
      <c r="D418" s="41" t="s">
        <v>2</v>
      </c>
      <c r="E418" s="67" t="s">
        <v>94</v>
      </c>
      <c r="F418" s="68">
        <v>4056.2</v>
      </c>
      <c r="G418" s="93">
        <f>F418+SUM(H418:T418)</f>
        <v>4455.5</v>
      </c>
      <c r="H418" s="68"/>
      <c r="I418" s="68"/>
      <c r="J418" s="69">
        <v>399.3</v>
      </c>
      <c r="K418" s="69"/>
      <c r="L418" s="68"/>
      <c r="M418" s="70"/>
      <c r="N418" s="68"/>
      <c r="O418" s="51"/>
      <c r="P418" s="68"/>
      <c r="Q418" s="68"/>
      <c r="R418" s="68"/>
      <c r="S418" s="68"/>
      <c r="T418" s="68"/>
    </row>
    <row r="419" spans="1:20" s="25" customFormat="1" ht="26.25" customHeight="1" hidden="1">
      <c r="A419" s="17"/>
      <c r="B419" s="17"/>
      <c r="C419" s="66"/>
      <c r="D419" s="41" t="s">
        <v>3</v>
      </c>
      <c r="E419" s="67" t="s">
        <v>95</v>
      </c>
      <c r="F419" s="68">
        <v>1054.3</v>
      </c>
      <c r="G419" s="93">
        <f>F419+SUM(H419:T419)</f>
        <v>1052.3</v>
      </c>
      <c r="H419" s="68"/>
      <c r="I419" s="68"/>
      <c r="J419" s="69"/>
      <c r="K419" s="69"/>
      <c r="L419" s="68">
        <v>-2</v>
      </c>
      <c r="M419" s="70"/>
      <c r="N419" s="68"/>
      <c r="O419" s="51"/>
      <c r="P419" s="68"/>
      <c r="Q419" s="68"/>
      <c r="R419" s="68"/>
      <c r="S419" s="68"/>
      <c r="T419" s="68"/>
    </row>
    <row r="420" spans="1:20" s="25" customFormat="1" ht="21" customHeight="1" hidden="1">
      <c r="A420" s="17"/>
      <c r="B420" s="17"/>
      <c r="C420" s="66"/>
      <c r="D420" s="41" t="s">
        <v>4</v>
      </c>
      <c r="E420" s="67" t="s">
        <v>5</v>
      </c>
      <c r="F420" s="68">
        <v>0.7</v>
      </c>
      <c r="G420" s="93">
        <f>F420+SUM(H420:T420)</f>
        <v>2.7</v>
      </c>
      <c r="H420" s="68"/>
      <c r="I420" s="68"/>
      <c r="J420" s="69"/>
      <c r="K420" s="69"/>
      <c r="L420" s="68">
        <v>2</v>
      </c>
      <c r="M420" s="70"/>
      <c r="N420" s="68"/>
      <c r="O420" s="51"/>
      <c r="P420" s="68"/>
      <c r="Q420" s="68"/>
      <c r="R420" s="68"/>
      <c r="S420" s="68"/>
      <c r="T420" s="68"/>
    </row>
    <row r="421" spans="1:20" s="25" customFormat="1" ht="38.25" hidden="1">
      <c r="A421" s="17"/>
      <c r="B421" s="17"/>
      <c r="C421" s="63" t="s">
        <v>372</v>
      </c>
      <c r="D421" s="11"/>
      <c r="E421" s="84" t="s">
        <v>137</v>
      </c>
      <c r="F421" s="95">
        <f>F422</f>
        <v>7407.900000000001</v>
      </c>
      <c r="G421" s="95">
        <f aca="true" t="shared" si="213" ref="G421:T421">G422</f>
        <v>7582.500000000001</v>
      </c>
      <c r="H421" s="95">
        <f t="shared" si="213"/>
        <v>0</v>
      </c>
      <c r="I421" s="95">
        <f t="shared" si="213"/>
        <v>0</v>
      </c>
      <c r="J421" s="95">
        <f t="shared" si="213"/>
        <v>12.6</v>
      </c>
      <c r="K421" s="95">
        <f t="shared" si="213"/>
        <v>0</v>
      </c>
      <c r="L421" s="95">
        <f t="shared" si="213"/>
        <v>20</v>
      </c>
      <c r="M421" s="131">
        <f t="shared" si="213"/>
        <v>0</v>
      </c>
      <c r="N421" s="95">
        <f t="shared" si="213"/>
        <v>0</v>
      </c>
      <c r="O421" s="184">
        <f t="shared" si="213"/>
        <v>0</v>
      </c>
      <c r="P421" s="95">
        <f t="shared" si="213"/>
        <v>0</v>
      </c>
      <c r="Q421" s="95">
        <f t="shared" si="213"/>
        <v>142</v>
      </c>
      <c r="R421" s="95">
        <f t="shared" si="213"/>
        <v>0</v>
      </c>
      <c r="S421" s="95">
        <f t="shared" si="213"/>
        <v>0</v>
      </c>
      <c r="T421" s="95">
        <f t="shared" si="213"/>
        <v>0</v>
      </c>
    </row>
    <row r="422" spans="1:20" s="25" customFormat="1" ht="38.25" hidden="1">
      <c r="A422" s="17"/>
      <c r="B422" s="17"/>
      <c r="C422" s="82" t="s">
        <v>410</v>
      </c>
      <c r="D422" s="41"/>
      <c r="E422" s="85" t="s">
        <v>141</v>
      </c>
      <c r="F422" s="79">
        <f aca="true" t="shared" si="214" ref="F422:T423">F423</f>
        <v>7407.900000000001</v>
      </c>
      <c r="G422" s="79">
        <f t="shared" si="214"/>
        <v>7582.500000000001</v>
      </c>
      <c r="H422" s="68">
        <f t="shared" si="214"/>
        <v>0</v>
      </c>
      <c r="I422" s="68">
        <f t="shared" si="214"/>
        <v>0</v>
      </c>
      <c r="J422" s="68">
        <f t="shared" si="214"/>
        <v>12.6</v>
      </c>
      <c r="K422" s="68">
        <f t="shared" si="214"/>
        <v>0</v>
      </c>
      <c r="L422" s="68">
        <f t="shared" si="214"/>
        <v>20</v>
      </c>
      <c r="M422" s="70">
        <f t="shared" si="214"/>
        <v>0</v>
      </c>
      <c r="N422" s="68">
        <f t="shared" si="214"/>
        <v>0</v>
      </c>
      <c r="O422" s="51">
        <f t="shared" si="214"/>
        <v>0</v>
      </c>
      <c r="P422" s="68">
        <f t="shared" si="214"/>
        <v>0</v>
      </c>
      <c r="Q422" s="68">
        <f t="shared" si="214"/>
        <v>142</v>
      </c>
      <c r="R422" s="68">
        <f t="shared" si="214"/>
        <v>0</v>
      </c>
      <c r="S422" s="68">
        <f t="shared" si="214"/>
        <v>0</v>
      </c>
      <c r="T422" s="68">
        <f t="shared" si="214"/>
        <v>0</v>
      </c>
    </row>
    <row r="423" spans="1:20" s="25" customFormat="1" ht="25.5" hidden="1">
      <c r="A423" s="17"/>
      <c r="B423" s="17"/>
      <c r="C423" s="66" t="s">
        <v>411</v>
      </c>
      <c r="D423" s="41"/>
      <c r="E423" s="57" t="s">
        <v>338</v>
      </c>
      <c r="F423" s="79">
        <f t="shared" si="214"/>
        <v>7407.900000000001</v>
      </c>
      <c r="G423" s="79">
        <f t="shared" si="214"/>
        <v>7582.500000000001</v>
      </c>
      <c r="H423" s="68">
        <f t="shared" si="214"/>
        <v>0</v>
      </c>
      <c r="I423" s="68">
        <f t="shared" si="214"/>
        <v>0</v>
      </c>
      <c r="J423" s="68">
        <f t="shared" si="214"/>
        <v>12.6</v>
      </c>
      <c r="K423" s="68">
        <f t="shared" si="214"/>
        <v>0</v>
      </c>
      <c r="L423" s="68">
        <f t="shared" si="214"/>
        <v>20</v>
      </c>
      <c r="M423" s="70">
        <f t="shared" si="214"/>
        <v>0</v>
      </c>
      <c r="N423" s="68">
        <f t="shared" si="214"/>
        <v>0</v>
      </c>
      <c r="O423" s="51">
        <f t="shared" si="214"/>
        <v>0</v>
      </c>
      <c r="P423" s="68">
        <f t="shared" si="214"/>
        <v>0</v>
      </c>
      <c r="Q423" s="68">
        <f t="shared" si="214"/>
        <v>142</v>
      </c>
      <c r="R423" s="68">
        <f t="shared" si="214"/>
        <v>0</v>
      </c>
      <c r="S423" s="68">
        <f t="shared" si="214"/>
        <v>0</v>
      </c>
      <c r="T423" s="68">
        <f t="shared" si="214"/>
        <v>0</v>
      </c>
    </row>
    <row r="424" spans="1:20" s="25" customFormat="1" ht="25.5" hidden="1">
      <c r="A424" s="17"/>
      <c r="B424" s="17"/>
      <c r="C424" s="66" t="s">
        <v>412</v>
      </c>
      <c r="D424" s="41"/>
      <c r="E424" s="57" t="s">
        <v>278</v>
      </c>
      <c r="F424" s="79">
        <f>F425+F426+F427</f>
        <v>7407.900000000001</v>
      </c>
      <c r="G424" s="79">
        <f aca="true" t="shared" si="215" ref="G424:T424">G425+G426+G427</f>
        <v>7582.500000000001</v>
      </c>
      <c r="H424" s="68">
        <f t="shared" si="215"/>
        <v>0</v>
      </c>
      <c r="I424" s="68">
        <f t="shared" si="215"/>
        <v>0</v>
      </c>
      <c r="J424" s="68">
        <f t="shared" si="215"/>
        <v>12.6</v>
      </c>
      <c r="K424" s="68">
        <f t="shared" si="215"/>
        <v>0</v>
      </c>
      <c r="L424" s="68">
        <f t="shared" si="215"/>
        <v>20</v>
      </c>
      <c r="M424" s="70">
        <f t="shared" si="215"/>
        <v>0</v>
      </c>
      <c r="N424" s="68">
        <f t="shared" si="215"/>
        <v>0</v>
      </c>
      <c r="O424" s="51">
        <f t="shared" si="215"/>
        <v>0</v>
      </c>
      <c r="P424" s="68">
        <f t="shared" si="215"/>
        <v>0</v>
      </c>
      <c r="Q424" s="68">
        <f t="shared" si="215"/>
        <v>142</v>
      </c>
      <c r="R424" s="68">
        <f>R425+R426+R427</f>
        <v>0</v>
      </c>
      <c r="S424" s="68">
        <f>S425+S426+S427</f>
        <v>0</v>
      </c>
      <c r="T424" s="68">
        <f t="shared" si="215"/>
        <v>0</v>
      </c>
    </row>
    <row r="425" spans="1:20" s="25" customFormat="1" ht="51" hidden="1">
      <c r="A425" s="17"/>
      <c r="B425" s="17"/>
      <c r="C425" s="66"/>
      <c r="D425" s="41" t="s">
        <v>2</v>
      </c>
      <c r="E425" s="67" t="s">
        <v>94</v>
      </c>
      <c r="F425" s="79">
        <v>6489.1</v>
      </c>
      <c r="G425" s="93">
        <f>F425+SUM(H425:T425)</f>
        <v>6578.700000000001</v>
      </c>
      <c r="H425" s="68"/>
      <c r="I425" s="68"/>
      <c r="J425" s="69">
        <v>12.6</v>
      </c>
      <c r="K425" s="69"/>
      <c r="L425" s="68"/>
      <c r="M425" s="70"/>
      <c r="N425" s="70"/>
      <c r="O425" s="51"/>
      <c r="P425" s="68"/>
      <c r="Q425" s="68">
        <v>77</v>
      </c>
      <c r="R425" s="70"/>
      <c r="S425" s="70"/>
      <c r="T425" s="68"/>
    </row>
    <row r="426" spans="1:20" s="25" customFormat="1" ht="25.5" hidden="1">
      <c r="A426" s="17"/>
      <c r="B426" s="17"/>
      <c r="C426" s="63"/>
      <c r="D426" s="41" t="s">
        <v>3</v>
      </c>
      <c r="E426" s="67" t="s">
        <v>95</v>
      </c>
      <c r="F426" s="79">
        <v>904.6</v>
      </c>
      <c r="G426" s="93">
        <f>F426+SUM(H426:T426)</f>
        <v>904.6</v>
      </c>
      <c r="H426" s="68"/>
      <c r="I426" s="68"/>
      <c r="J426" s="69"/>
      <c r="K426" s="69"/>
      <c r="L426" s="68"/>
      <c r="M426" s="70"/>
      <c r="N426" s="68"/>
      <c r="O426" s="51"/>
      <c r="P426" s="68"/>
      <c r="Q426" s="68"/>
      <c r="R426" s="68"/>
      <c r="S426" s="68"/>
      <c r="T426" s="68"/>
    </row>
    <row r="427" spans="1:20" s="25" customFormat="1" ht="12.75" hidden="1">
      <c r="A427" s="17"/>
      <c r="B427" s="17"/>
      <c r="C427" s="66"/>
      <c r="D427" s="41" t="s">
        <v>4</v>
      </c>
      <c r="E427" s="67" t="s">
        <v>5</v>
      </c>
      <c r="F427" s="79">
        <v>14.2</v>
      </c>
      <c r="G427" s="93">
        <f>F427+SUM(H427:T427)</f>
        <v>99.2</v>
      </c>
      <c r="H427" s="68"/>
      <c r="I427" s="68"/>
      <c r="J427" s="69"/>
      <c r="K427" s="69"/>
      <c r="L427" s="68">
        <v>20</v>
      </c>
      <c r="M427" s="70"/>
      <c r="N427" s="68"/>
      <c r="O427" s="51"/>
      <c r="P427" s="68"/>
      <c r="Q427" s="68">
        <v>65</v>
      </c>
      <c r="R427" s="68"/>
      <c r="S427" s="68"/>
      <c r="T427" s="68"/>
    </row>
    <row r="428" spans="1:21" s="25" customFormat="1" ht="12" hidden="1">
      <c r="A428" s="17"/>
      <c r="B428" s="5" t="s">
        <v>73</v>
      </c>
      <c r="C428" s="16"/>
      <c r="D428" s="5"/>
      <c r="E428" s="13" t="s">
        <v>85</v>
      </c>
      <c r="F428" s="119">
        <f>F429</f>
        <v>54.2</v>
      </c>
      <c r="G428" s="119">
        <f aca="true" t="shared" si="216" ref="F428:T433">G429</f>
        <v>54.2</v>
      </c>
      <c r="H428" s="26">
        <f t="shared" si="216"/>
        <v>0</v>
      </c>
      <c r="I428" s="26">
        <f t="shared" si="216"/>
        <v>0</v>
      </c>
      <c r="J428" s="26">
        <f t="shared" si="216"/>
        <v>0</v>
      </c>
      <c r="K428" s="26">
        <f t="shared" si="216"/>
        <v>0</v>
      </c>
      <c r="L428" s="26">
        <f t="shared" si="216"/>
        <v>0</v>
      </c>
      <c r="M428" s="158">
        <f t="shared" si="216"/>
        <v>0</v>
      </c>
      <c r="N428" s="26">
        <f t="shared" si="216"/>
        <v>0</v>
      </c>
      <c r="O428" s="189">
        <f t="shared" si="216"/>
        <v>0</v>
      </c>
      <c r="P428" s="26">
        <f t="shared" si="216"/>
        <v>0</v>
      </c>
      <c r="Q428" s="26">
        <f t="shared" si="216"/>
        <v>0</v>
      </c>
      <c r="R428" s="26">
        <f t="shared" si="216"/>
        <v>0</v>
      </c>
      <c r="S428" s="26">
        <f t="shared" si="216"/>
        <v>0</v>
      </c>
      <c r="T428" s="26">
        <f t="shared" si="216"/>
        <v>0</v>
      </c>
      <c r="U428" s="8"/>
    </row>
    <row r="429" spans="1:21" s="25" customFormat="1" ht="14.25" customHeight="1" hidden="1">
      <c r="A429" s="17"/>
      <c r="B429" s="5" t="s">
        <v>74</v>
      </c>
      <c r="C429" s="16"/>
      <c r="D429" s="5"/>
      <c r="E429" s="13" t="s">
        <v>75</v>
      </c>
      <c r="F429" s="119">
        <f>F430</f>
        <v>54.2</v>
      </c>
      <c r="G429" s="119">
        <f t="shared" si="216"/>
        <v>54.2</v>
      </c>
      <c r="H429" s="26">
        <f t="shared" si="216"/>
        <v>0</v>
      </c>
      <c r="I429" s="26">
        <f t="shared" si="216"/>
        <v>0</v>
      </c>
      <c r="J429" s="26">
        <f t="shared" si="216"/>
        <v>0</v>
      </c>
      <c r="K429" s="26">
        <f t="shared" si="216"/>
        <v>0</v>
      </c>
      <c r="L429" s="26">
        <f t="shared" si="216"/>
        <v>0</v>
      </c>
      <c r="M429" s="158">
        <f t="shared" si="216"/>
        <v>0</v>
      </c>
      <c r="N429" s="26">
        <f t="shared" si="216"/>
        <v>0</v>
      </c>
      <c r="O429" s="189">
        <f t="shared" si="216"/>
        <v>0</v>
      </c>
      <c r="P429" s="26">
        <f t="shared" si="216"/>
        <v>0</v>
      </c>
      <c r="Q429" s="26">
        <f t="shared" si="216"/>
        <v>0</v>
      </c>
      <c r="R429" s="26">
        <f t="shared" si="216"/>
        <v>0</v>
      </c>
      <c r="S429" s="26">
        <f t="shared" si="216"/>
        <v>0</v>
      </c>
      <c r="T429" s="26">
        <f t="shared" si="216"/>
        <v>0</v>
      </c>
      <c r="U429" s="8"/>
    </row>
    <row r="430" spans="1:21" s="25" customFormat="1" ht="64.5" customHeight="1" hidden="1">
      <c r="A430" s="17"/>
      <c r="B430" s="17"/>
      <c r="C430" s="63" t="s">
        <v>273</v>
      </c>
      <c r="D430" s="11"/>
      <c r="E430" s="60" t="s">
        <v>123</v>
      </c>
      <c r="F430" s="95">
        <f t="shared" si="216"/>
        <v>54.2</v>
      </c>
      <c r="G430" s="95">
        <f t="shared" si="216"/>
        <v>54.2</v>
      </c>
      <c r="H430" s="73">
        <f t="shared" si="216"/>
        <v>0</v>
      </c>
      <c r="I430" s="73">
        <f t="shared" si="216"/>
        <v>0</v>
      </c>
      <c r="J430" s="73">
        <f t="shared" si="216"/>
        <v>0</v>
      </c>
      <c r="K430" s="73">
        <f t="shared" si="216"/>
        <v>0</v>
      </c>
      <c r="L430" s="73">
        <f t="shared" si="216"/>
        <v>0</v>
      </c>
      <c r="M430" s="77">
        <f t="shared" si="216"/>
        <v>0</v>
      </c>
      <c r="N430" s="73">
        <f t="shared" si="216"/>
        <v>0</v>
      </c>
      <c r="O430" s="50">
        <f t="shared" si="216"/>
        <v>0</v>
      </c>
      <c r="P430" s="73">
        <f t="shared" si="216"/>
        <v>0</v>
      </c>
      <c r="Q430" s="73">
        <f t="shared" si="216"/>
        <v>0</v>
      </c>
      <c r="R430" s="73">
        <f t="shared" si="216"/>
        <v>0</v>
      </c>
      <c r="S430" s="73">
        <f t="shared" si="216"/>
        <v>0</v>
      </c>
      <c r="T430" s="73">
        <f t="shared" si="216"/>
        <v>0</v>
      </c>
      <c r="U430" s="8"/>
    </row>
    <row r="431" spans="1:21" s="25" customFormat="1" ht="12.75" hidden="1">
      <c r="A431" s="17"/>
      <c r="B431" s="17"/>
      <c r="C431" s="82" t="s">
        <v>274</v>
      </c>
      <c r="D431" s="41"/>
      <c r="E431" s="61" t="s">
        <v>124</v>
      </c>
      <c r="F431" s="79">
        <f t="shared" si="216"/>
        <v>54.2</v>
      </c>
      <c r="G431" s="79">
        <f t="shared" si="216"/>
        <v>54.2</v>
      </c>
      <c r="H431" s="68">
        <f t="shared" si="216"/>
        <v>0</v>
      </c>
      <c r="I431" s="68">
        <f t="shared" si="216"/>
        <v>0</v>
      </c>
      <c r="J431" s="68">
        <f t="shared" si="216"/>
        <v>0</v>
      </c>
      <c r="K431" s="68">
        <f t="shared" si="216"/>
        <v>0</v>
      </c>
      <c r="L431" s="68">
        <f t="shared" si="216"/>
        <v>0</v>
      </c>
      <c r="M431" s="70">
        <f t="shared" si="216"/>
        <v>0</v>
      </c>
      <c r="N431" s="68">
        <f t="shared" si="216"/>
        <v>0</v>
      </c>
      <c r="O431" s="51">
        <f t="shared" si="216"/>
        <v>0</v>
      </c>
      <c r="P431" s="68">
        <f t="shared" si="216"/>
        <v>0</v>
      </c>
      <c r="Q431" s="68">
        <f t="shared" si="216"/>
        <v>0</v>
      </c>
      <c r="R431" s="68">
        <f t="shared" si="216"/>
        <v>0</v>
      </c>
      <c r="S431" s="68">
        <f t="shared" si="216"/>
        <v>0</v>
      </c>
      <c r="T431" s="68">
        <f t="shared" si="216"/>
        <v>0</v>
      </c>
      <c r="U431" s="8"/>
    </row>
    <row r="432" spans="1:21" s="25" customFormat="1" ht="43.5" customHeight="1" hidden="1">
      <c r="A432" s="17"/>
      <c r="B432" s="17"/>
      <c r="C432" s="66" t="s">
        <v>289</v>
      </c>
      <c r="D432" s="41"/>
      <c r="E432" s="57" t="s">
        <v>291</v>
      </c>
      <c r="F432" s="79">
        <f t="shared" si="216"/>
        <v>54.2</v>
      </c>
      <c r="G432" s="79">
        <f t="shared" si="216"/>
        <v>54.2</v>
      </c>
      <c r="H432" s="68">
        <f t="shared" si="216"/>
        <v>0</v>
      </c>
      <c r="I432" s="68">
        <f t="shared" si="216"/>
        <v>0</v>
      </c>
      <c r="J432" s="68">
        <f t="shared" si="216"/>
        <v>0</v>
      </c>
      <c r="K432" s="68">
        <f t="shared" si="216"/>
        <v>0</v>
      </c>
      <c r="L432" s="68">
        <f t="shared" si="216"/>
        <v>0</v>
      </c>
      <c r="M432" s="70">
        <f t="shared" si="216"/>
        <v>0</v>
      </c>
      <c r="N432" s="68">
        <f t="shared" si="216"/>
        <v>0</v>
      </c>
      <c r="O432" s="51">
        <f t="shared" si="216"/>
        <v>0</v>
      </c>
      <c r="P432" s="68">
        <f t="shared" si="216"/>
        <v>0</v>
      </c>
      <c r="Q432" s="68">
        <f t="shared" si="216"/>
        <v>0</v>
      </c>
      <c r="R432" s="68">
        <f t="shared" si="216"/>
        <v>0</v>
      </c>
      <c r="S432" s="68">
        <f t="shared" si="216"/>
        <v>0</v>
      </c>
      <c r="T432" s="68">
        <f t="shared" si="216"/>
        <v>0</v>
      </c>
      <c r="U432" s="8"/>
    </row>
    <row r="433" spans="1:21" s="25" customFormat="1" ht="38.25" hidden="1">
      <c r="A433" s="17"/>
      <c r="B433" s="17"/>
      <c r="C433" s="66" t="s">
        <v>290</v>
      </c>
      <c r="D433" s="41"/>
      <c r="E433" s="57" t="s">
        <v>292</v>
      </c>
      <c r="F433" s="79">
        <f t="shared" si="216"/>
        <v>54.2</v>
      </c>
      <c r="G433" s="79">
        <f t="shared" si="216"/>
        <v>54.2</v>
      </c>
      <c r="H433" s="68">
        <f t="shared" si="216"/>
        <v>0</v>
      </c>
      <c r="I433" s="68">
        <f t="shared" si="216"/>
        <v>0</v>
      </c>
      <c r="J433" s="68">
        <f t="shared" si="216"/>
        <v>0</v>
      </c>
      <c r="K433" s="68">
        <f t="shared" si="216"/>
        <v>0</v>
      </c>
      <c r="L433" s="68">
        <f t="shared" si="216"/>
        <v>0</v>
      </c>
      <c r="M433" s="70">
        <f t="shared" si="216"/>
        <v>0</v>
      </c>
      <c r="N433" s="68">
        <f t="shared" si="216"/>
        <v>0</v>
      </c>
      <c r="O433" s="51">
        <f t="shared" si="216"/>
        <v>0</v>
      </c>
      <c r="P433" s="68">
        <f t="shared" si="216"/>
        <v>0</v>
      </c>
      <c r="Q433" s="68">
        <f t="shared" si="216"/>
        <v>0</v>
      </c>
      <c r="R433" s="68">
        <f t="shared" si="216"/>
        <v>0</v>
      </c>
      <c r="S433" s="68">
        <f t="shared" si="216"/>
        <v>0</v>
      </c>
      <c r="T433" s="68">
        <f t="shared" si="216"/>
        <v>0</v>
      </c>
      <c r="U433" s="8"/>
    </row>
    <row r="434" spans="1:21" s="25" customFormat="1" ht="30.75" customHeight="1" hidden="1">
      <c r="A434" s="17"/>
      <c r="B434" s="17"/>
      <c r="C434" s="66"/>
      <c r="D434" s="41" t="s">
        <v>3</v>
      </c>
      <c r="E434" s="67" t="s">
        <v>95</v>
      </c>
      <c r="F434" s="79">
        <v>54.2</v>
      </c>
      <c r="G434" s="93">
        <f>F434+SUM(H434:T434)</f>
        <v>54.2</v>
      </c>
      <c r="H434" s="68"/>
      <c r="I434" s="68"/>
      <c r="J434" s="69"/>
      <c r="K434" s="69"/>
      <c r="L434" s="68"/>
      <c r="M434" s="70"/>
      <c r="N434" s="68"/>
      <c r="O434" s="51"/>
      <c r="P434" s="68"/>
      <c r="Q434" s="68"/>
      <c r="R434" s="68"/>
      <c r="S434" s="68"/>
      <c r="T434" s="68"/>
      <c r="U434" s="8"/>
    </row>
    <row r="435" spans="1:20" s="25" customFormat="1" ht="21" customHeight="1" hidden="1">
      <c r="A435" s="17"/>
      <c r="B435" s="5" t="s">
        <v>50</v>
      </c>
      <c r="C435" s="63"/>
      <c r="D435" s="11"/>
      <c r="E435" s="13" t="s">
        <v>51</v>
      </c>
      <c r="F435" s="73">
        <f aca="true" t="shared" si="217" ref="F435:F440">F436</f>
        <v>0</v>
      </c>
      <c r="G435" s="73">
        <f aca="true" t="shared" si="218" ref="G435:T440">G436</f>
        <v>0</v>
      </c>
      <c r="H435" s="73">
        <f t="shared" si="218"/>
        <v>0</v>
      </c>
      <c r="I435" s="73">
        <f t="shared" si="218"/>
        <v>0</v>
      </c>
      <c r="J435" s="73">
        <f t="shared" si="218"/>
        <v>0</v>
      </c>
      <c r="K435" s="73">
        <f t="shared" si="218"/>
        <v>0</v>
      </c>
      <c r="L435" s="73">
        <f t="shared" si="218"/>
        <v>0</v>
      </c>
      <c r="M435" s="77">
        <f t="shared" si="218"/>
        <v>0</v>
      </c>
      <c r="N435" s="73">
        <f t="shared" si="218"/>
        <v>0</v>
      </c>
      <c r="O435" s="50">
        <f t="shared" si="218"/>
        <v>0</v>
      </c>
      <c r="P435" s="73">
        <f t="shared" si="218"/>
        <v>0</v>
      </c>
      <c r="Q435" s="73">
        <f t="shared" si="218"/>
        <v>0</v>
      </c>
      <c r="R435" s="73">
        <f t="shared" si="218"/>
        <v>0</v>
      </c>
      <c r="S435" s="73">
        <f t="shared" si="218"/>
        <v>0</v>
      </c>
      <c r="T435" s="73">
        <f t="shared" si="218"/>
        <v>0</v>
      </c>
    </row>
    <row r="436" spans="1:20" s="25" customFormat="1" ht="21" customHeight="1" hidden="1">
      <c r="A436" s="17"/>
      <c r="B436" s="5" t="s">
        <v>52</v>
      </c>
      <c r="C436" s="63"/>
      <c r="D436" s="11"/>
      <c r="E436" s="13" t="s">
        <v>53</v>
      </c>
      <c r="F436" s="73">
        <f t="shared" si="217"/>
        <v>0</v>
      </c>
      <c r="G436" s="73">
        <f t="shared" si="218"/>
        <v>0</v>
      </c>
      <c r="H436" s="73">
        <f t="shared" si="218"/>
        <v>0</v>
      </c>
      <c r="I436" s="73">
        <f t="shared" si="218"/>
        <v>0</v>
      </c>
      <c r="J436" s="73">
        <f t="shared" si="218"/>
        <v>0</v>
      </c>
      <c r="K436" s="73">
        <f t="shared" si="218"/>
        <v>0</v>
      </c>
      <c r="L436" s="73">
        <f t="shared" si="218"/>
        <v>0</v>
      </c>
      <c r="M436" s="77">
        <f t="shared" si="218"/>
        <v>0</v>
      </c>
      <c r="N436" s="73">
        <f t="shared" si="218"/>
        <v>0</v>
      </c>
      <c r="O436" s="50">
        <f t="shared" si="218"/>
        <v>0</v>
      </c>
      <c r="P436" s="73">
        <f t="shared" si="218"/>
        <v>0</v>
      </c>
      <c r="Q436" s="73">
        <f t="shared" si="218"/>
        <v>0</v>
      </c>
      <c r="R436" s="73">
        <f t="shared" si="218"/>
        <v>0</v>
      </c>
      <c r="S436" s="73">
        <f t="shared" si="218"/>
        <v>0</v>
      </c>
      <c r="T436" s="73">
        <f t="shared" si="218"/>
        <v>0</v>
      </c>
    </row>
    <row r="437" spans="1:20" s="25" customFormat="1" ht="28.5" customHeight="1" hidden="1">
      <c r="A437" s="17"/>
      <c r="B437" s="5"/>
      <c r="C437" s="63" t="s">
        <v>324</v>
      </c>
      <c r="D437" s="11"/>
      <c r="E437" s="60" t="s">
        <v>129</v>
      </c>
      <c r="F437" s="73">
        <f t="shared" si="217"/>
        <v>0</v>
      </c>
      <c r="G437" s="73">
        <f t="shared" si="218"/>
        <v>0</v>
      </c>
      <c r="H437" s="73">
        <f t="shared" si="218"/>
        <v>0</v>
      </c>
      <c r="I437" s="73">
        <f t="shared" si="218"/>
        <v>0</v>
      </c>
      <c r="J437" s="73">
        <f t="shared" si="218"/>
        <v>0</v>
      </c>
      <c r="K437" s="73">
        <f t="shared" si="218"/>
        <v>0</v>
      </c>
      <c r="L437" s="73">
        <f t="shared" si="218"/>
        <v>0</v>
      </c>
      <c r="M437" s="77">
        <f t="shared" si="218"/>
        <v>0</v>
      </c>
      <c r="N437" s="73">
        <f t="shared" si="218"/>
        <v>0</v>
      </c>
      <c r="O437" s="50">
        <f t="shared" si="218"/>
        <v>0</v>
      </c>
      <c r="P437" s="73">
        <f t="shared" si="218"/>
        <v>0</v>
      </c>
      <c r="Q437" s="73">
        <f t="shared" si="218"/>
        <v>0</v>
      </c>
      <c r="R437" s="73">
        <f t="shared" si="218"/>
        <v>0</v>
      </c>
      <c r="S437" s="73">
        <f t="shared" si="218"/>
        <v>0</v>
      </c>
      <c r="T437" s="73">
        <f t="shared" si="218"/>
        <v>0</v>
      </c>
    </row>
    <row r="438" spans="1:20" s="25" customFormat="1" ht="25.5" customHeight="1" hidden="1">
      <c r="A438" s="17"/>
      <c r="B438" s="17"/>
      <c r="C438" s="82" t="s">
        <v>328</v>
      </c>
      <c r="D438" s="99"/>
      <c r="E438" s="61" t="s">
        <v>131</v>
      </c>
      <c r="F438" s="68">
        <f t="shared" si="217"/>
        <v>0</v>
      </c>
      <c r="G438" s="68">
        <f t="shared" si="218"/>
        <v>0</v>
      </c>
      <c r="H438" s="68">
        <f t="shared" si="218"/>
        <v>0</v>
      </c>
      <c r="I438" s="68">
        <f t="shared" si="218"/>
        <v>0</v>
      </c>
      <c r="J438" s="68">
        <f t="shared" si="218"/>
        <v>0</v>
      </c>
      <c r="K438" s="68">
        <f t="shared" si="218"/>
        <v>0</v>
      </c>
      <c r="L438" s="68">
        <f t="shared" si="218"/>
        <v>0</v>
      </c>
      <c r="M438" s="70">
        <f t="shared" si="218"/>
        <v>0</v>
      </c>
      <c r="N438" s="68">
        <f t="shared" si="218"/>
        <v>0</v>
      </c>
      <c r="O438" s="51">
        <f t="shared" si="218"/>
        <v>0</v>
      </c>
      <c r="P438" s="68">
        <f t="shared" si="218"/>
        <v>0</v>
      </c>
      <c r="Q438" s="68">
        <f t="shared" si="218"/>
        <v>0</v>
      </c>
      <c r="R438" s="68">
        <f t="shared" si="218"/>
        <v>0</v>
      </c>
      <c r="S438" s="68">
        <f t="shared" si="218"/>
        <v>0</v>
      </c>
      <c r="T438" s="68">
        <f t="shared" si="218"/>
        <v>0</v>
      </c>
    </row>
    <row r="439" spans="1:20" s="25" customFormat="1" ht="28.5" customHeight="1" hidden="1">
      <c r="A439" s="17"/>
      <c r="B439" s="17"/>
      <c r="C439" s="66" t="s">
        <v>329</v>
      </c>
      <c r="D439" s="41"/>
      <c r="E439" s="100" t="s">
        <v>332</v>
      </c>
      <c r="F439" s="68">
        <f t="shared" si="217"/>
        <v>0</v>
      </c>
      <c r="G439" s="68">
        <f t="shared" si="218"/>
        <v>0</v>
      </c>
      <c r="H439" s="68">
        <f t="shared" si="218"/>
        <v>0</v>
      </c>
      <c r="I439" s="68">
        <f t="shared" si="218"/>
        <v>0</v>
      </c>
      <c r="J439" s="68">
        <f t="shared" si="218"/>
        <v>0</v>
      </c>
      <c r="K439" s="68">
        <f t="shared" si="218"/>
        <v>0</v>
      </c>
      <c r="L439" s="68">
        <f t="shared" si="218"/>
        <v>0</v>
      </c>
      <c r="M439" s="70">
        <f t="shared" si="218"/>
        <v>0</v>
      </c>
      <c r="N439" s="68">
        <f t="shared" si="218"/>
        <v>0</v>
      </c>
      <c r="O439" s="51">
        <f t="shared" si="218"/>
        <v>0</v>
      </c>
      <c r="P439" s="68">
        <f t="shared" si="218"/>
        <v>0</v>
      </c>
      <c r="Q439" s="68">
        <f t="shared" si="218"/>
        <v>0</v>
      </c>
      <c r="R439" s="68">
        <f t="shared" si="218"/>
        <v>0</v>
      </c>
      <c r="S439" s="68">
        <f t="shared" si="218"/>
        <v>0</v>
      </c>
      <c r="T439" s="68">
        <f t="shared" si="218"/>
        <v>0</v>
      </c>
    </row>
    <row r="440" spans="1:20" s="25" customFormat="1" ht="54" customHeight="1" hidden="1">
      <c r="A440" s="17"/>
      <c r="B440" s="17"/>
      <c r="C440" s="66" t="s">
        <v>437</v>
      </c>
      <c r="D440" s="41"/>
      <c r="E440" s="100" t="s">
        <v>333</v>
      </c>
      <c r="F440" s="68">
        <f t="shared" si="217"/>
        <v>0</v>
      </c>
      <c r="G440" s="68">
        <f t="shared" si="218"/>
        <v>0</v>
      </c>
      <c r="H440" s="68">
        <f t="shared" si="218"/>
        <v>0</v>
      </c>
      <c r="I440" s="68">
        <f t="shared" si="218"/>
        <v>0</v>
      </c>
      <c r="J440" s="68">
        <f t="shared" si="218"/>
        <v>0</v>
      </c>
      <c r="K440" s="68">
        <f t="shared" si="218"/>
        <v>0</v>
      </c>
      <c r="L440" s="68">
        <f t="shared" si="218"/>
        <v>0</v>
      </c>
      <c r="M440" s="70">
        <f t="shared" si="218"/>
        <v>0</v>
      </c>
      <c r="N440" s="68">
        <f t="shared" si="218"/>
        <v>0</v>
      </c>
      <c r="O440" s="51">
        <f t="shared" si="218"/>
        <v>0</v>
      </c>
      <c r="P440" s="68">
        <f t="shared" si="218"/>
        <v>0</v>
      </c>
      <c r="Q440" s="68">
        <f t="shared" si="218"/>
        <v>0</v>
      </c>
      <c r="R440" s="68">
        <f t="shared" si="218"/>
        <v>0</v>
      </c>
      <c r="S440" s="68">
        <f t="shared" si="218"/>
        <v>0</v>
      </c>
      <c r="T440" s="68">
        <f t="shared" si="218"/>
        <v>0</v>
      </c>
    </row>
    <row r="441" spans="1:20" s="25" customFormat="1" ht="21" customHeight="1" hidden="1">
      <c r="A441" s="17"/>
      <c r="B441" s="17"/>
      <c r="C441" s="66"/>
      <c r="D441" s="41" t="s">
        <v>6</v>
      </c>
      <c r="E441" s="67" t="s">
        <v>7</v>
      </c>
      <c r="F441" s="68"/>
      <c r="G441" s="93">
        <f>F441+SUM(H441:T441)</f>
        <v>0</v>
      </c>
      <c r="H441" s="68"/>
      <c r="I441" s="68"/>
      <c r="J441" s="69"/>
      <c r="K441" s="69"/>
      <c r="L441" s="68"/>
      <c r="M441" s="70"/>
      <c r="N441" s="68"/>
      <c r="O441" s="51"/>
      <c r="P441" s="68"/>
      <c r="Q441" s="68"/>
      <c r="R441" s="68"/>
      <c r="S441" s="68"/>
      <c r="T441" s="68"/>
    </row>
    <row r="442" spans="1:20" s="25" customFormat="1" ht="46.5" customHeight="1">
      <c r="A442" s="5" t="s">
        <v>21</v>
      </c>
      <c r="B442" s="5"/>
      <c r="C442" s="5"/>
      <c r="D442" s="5"/>
      <c r="E442" s="13" t="s">
        <v>66</v>
      </c>
      <c r="F442" s="119">
        <f>F458+F484+F519+F512+F443</f>
        <v>46882.799999999996</v>
      </c>
      <c r="G442" s="119">
        <f>G458+G484+G519+G512+G443</f>
        <v>50274.115</v>
      </c>
      <c r="H442" s="119">
        <f aca="true" t="shared" si="219" ref="H442:T442">H458+H484+H519+H512+H443</f>
        <v>10</v>
      </c>
      <c r="I442" s="119">
        <f t="shared" si="219"/>
        <v>395</v>
      </c>
      <c r="J442" s="119">
        <f t="shared" si="219"/>
        <v>1506.1999999999998</v>
      </c>
      <c r="K442" s="119">
        <f t="shared" si="219"/>
        <v>0</v>
      </c>
      <c r="L442" s="119">
        <f t="shared" si="219"/>
        <v>0</v>
      </c>
      <c r="M442" s="121">
        <f t="shared" si="219"/>
        <v>118</v>
      </c>
      <c r="N442" s="119">
        <f t="shared" si="219"/>
        <v>372.115</v>
      </c>
      <c r="O442" s="185">
        <f t="shared" si="219"/>
        <v>30</v>
      </c>
      <c r="P442" s="119">
        <f t="shared" si="219"/>
        <v>-3.552713678800501E-15</v>
      </c>
      <c r="Q442" s="119">
        <f t="shared" si="219"/>
        <v>100</v>
      </c>
      <c r="R442" s="119">
        <f>R458+R484+R519+R512+R443</f>
        <v>300</v>
      </c>
      <c r="S442" s="119">
        <f>S458+S484+S519+S512+S443</f>
        <v>560</v>
      </c>
      <c r="T442" s="119">
        <f t="shared" si="219"/>
        <v>0</v>
      </c>
    </row>
    <row r="443" spans="1:20" s="25" customFormat="1" ht="22.5" customHeight="1" hidden="1">
      <c r="A443" s="5"/>
      <c r="B443" s="5" t="s">
        <v>28</v>
      </c>
      <c r="C443" s="5"/>
      <c r="D443" s="5"/>
      <c r="E443" s="15" t="s">
        <v>29</v>
      </c>
      <c r="F443" s="119">
        <f>F444</f>
        <v>22</v>
      </c>
      <c r="G443" s="119">
        <f aca="true" t="shared" si="220" ref="G443:T443">G444</f>
        <v>134.115</v>
      </c>
      <c r="H443" s="119">
        <f t="shared" si="220"/>
        <v>10</v>
      </c>
      <c r="I443" s="119">
        <f t="shared" si="220"/>
        <v>0</v>
      </c>
      <c r="J443" s="119">
        <f t="shared" si="220"/>
        <v>0</v>
      </c>
      <c r="K443" s="119">
        <f t="shared" si="220"/>
        <v>0</v>
      </c>
      <c r="L443" s="119">
        <f t="shared" si="220"/>
        <v>0</v>
      </c>
      <c r="M443" s="121">
        <f t="shared" si="220"/>
        <v>0</v>
      </c>
      <c r="N443" s="119">
        <f t="shared" si="220"/>
        <v>72.115</v>
      </c>
      <c r="O443" s="185">
        <f t="shared" si="220"/>
        <v>30</v>
      </c>
      <c r="P443" s="119">
        <f t="shared" si="220"/>
        <v>0</v>
      </c>
      <c r="Q443" s="119">
        <f t="shared" si="220"/>
        <v>0</v>
      </c>
      <c r="R443" s="119">
        <f t="shared" si="220"/>
        <v>0</v>
      </c>
      <c r="S443" s="119">
        <f t="shared" si="220"/>
        <v>0</v>
      </c>
      <c r="T443" s="119">
        <f t="shared" si="220"/>
        <v>0</v>
      </c>
    </row>
    <row r="444" spans="1:20" s="25" customFormat="1" ht="15.75" customHeight="1" hidden="1">
      <c r="A444" s="5"/>
      <c r="B444" s="5" t="s">
        <v>84</v>
      </c>
      <c r="C444" s="5"/>
      <c r="D444" s="5"/>
      <c r="E444" s="13" t="s">
        <v>39</v>
      </c>
      <c r="F444" s="119">
        <f>F453+F445</f>
        <v>22</v>
      </c>
      <c r="G444" s="119">
        <f aca="true" t="shared" si="221" ref="G444:T444">G453+G445</f>
        <v>134.115</v>
      </c>
      <c r="H444" s="119">
        <f t="shared" si="221"/>
        <v>10</v>
      </c>
      <c r="I444" s="119">
        <f t="shared" si="221"/>
        <v>0</v>
      </c>
      <c r="J444" s="119">
        <f t="shared" si="221"/>
        <v>0</v>
      </c>
      <c r="K444" s="119">
        <f t="shared" si="221"/>
        <v>0</v>
      </c>
      <c r="L444" s="119">
        <f t="shared" si="221"/>
        <v>0</v>
      </c>
      <c r="M444" s="121">
        <f t="shared" si="221"/>
        <v>0</v>
      </c>
      <c r="N444" s="119">
        <f t="shared" si="221"/>
        <v>72.115</v>
      </c>
      <c r="O444" s="185">
        <f t="shared" si="221"/>
        <v>30</v>
      </c>
      <c r="P444" s="119">
        <f t="shared" si="221"/>
        <v>0</v>
      </c>
      <c r="Q444" s="119">
        <f t="shared" si="221"/>
        <v>0</v>
      </c>
      <c r="R444" s="119">
        <f>R453+R445</f>
        <v>0</v>
      </c>
      <c r="S444" s="119">
        <f>S453+S445</f>
        <v>0</v>
      </c>
      <c r="T444" s="119">
        <f t="shared" si="221"/>
        <v>0</v>
      </c>
    </row>
    <row r="445" spans="1:20" s="25" customFormat="1" ht="61.5" customHeight="1" hidden="1">
      <c r="A445" s="5"/>
      <c r="B445" s="5"/>
      <c r="C445" s="63" t="s">
        <v>241</v>
      </c>
      <c r="D445" s="11"/>
      <c r="E445" s="60" t="s">
        <v>118</v>
      </c>
      <c r="F445" s="119">
        <f>F449+F446</f>
        <v>22</v>
      </c>
      <c r="G445" s="119">
        <f>G449+G446</f>
        <v>32</v>
      </c>
      <c r="H445" s="119">
        <f aca="true" t="shared" si="222" ref="H445:T445">H449+H446</f>
        <v>10</v>
      </c>
      <c r="I445" s="119">
        <f t="shared" si="222"/>
        <v>0</v>
      </c>
      <c r="J445" s="119">
        <f t="shared" si="222"/>
        <v>0</v>
      </c>
      <c r="K445" s="119">
        <f t="shared" si="222"/>
        <v>0</v>
      </c>
      <c r="L445" s="119">
        <f t="shared" si="222"/>
        <v>0</v>
      </c>
      <c r="M445" s="121">
        <f t="shared" si="222"/>
        <v>0</v>
      </c>
      <c r="N445" s="119">
        <f t="shared" si="222"/>
        <v>0</v>
      </c>
      <c r="O445" s="185">
        <f t="shared" si="222"/>
        <v>0</v>
      </c>
      <c r="P445" s="119">
        <f t="shared" si="222"/>
        <v>0</v>
      </c>
      <c r="Q445" s="119">
        <f t="shared" si="222"/>
        <v>0</v>
      </c>
      <c r="R445" s="119">
        <f>R449+R446</f>
        <v>0</v>
      </c>
      <c r="S445" s="119">
        <f>S449+S446</f>
        <v>0</v>
      </c>
      <c r="T445" s="119">
        <f t="shared" si="222"/>
        <v>0</v>
      </c>
    </row>
    <row r="446" spans="1:20" s="25" customFormat="1" ht="42.75" customHeight="1" hidden="1">
      <c r="A446" s="5"/>
      <c r="B446" s="5"/>
      <c r="C446" s="82" t="s">
        <v>246</v>
      </c>
      <c r="D446" s="99"/>
      <c r="E446" s="61" t="s">
        <v>248</v>
      </c>
      <c r="F446" s="101">
        <f>F447</f>
        <v>0</v>
      </c>
      <c r="G446" s="101">
        <f aca="true" t="shared" si="223" ref="G446:T447">G447</f>
        <v>10</v>
      </c>
      <c r="H446" s="101">
        <f t="shared" si="223"/>
        <v>10</v>
      </c>
      <c r="I446" s="101">
        <f t="shared" si="223"/>
        <v>0</v>
      </c>
      <c r="J446" s="101">
        <f t="shared" si="223"/>
        <v>0</v>
      </c>
      <c r="K446" s="101">
        <f t="shared" si="223"/>
        <v>0</v>
      </c>
      <c r="L446" s="101">
        <f t="shared" si="223"/>
        <v>0</v>
      </c>
      <c r="M446" s="160">
        <f t="shared" si="223"/>
        <v>0</v>
      </c>
      <c r="N446" s="101">
        <f t="shared" si="223"/>
        <v>0</v>
      </c>
      <c r="O446" s="186">
        <f t="shared" si="223"/>
        <v>0</v>
      </c>
      <c r="P446" s="101">
        <f t="shared" si="223"/>
        <v>0</v>
      </c>
      <c r="Q446" s="101">
        <f t="shared" si="223"/>
        <v>0</v>
      </c>
      <c r="R446" s="101">
        <f t="shared" si="223"/>
        <v>0</v>
      </c>
      <c r="S446" s="101">
        <f t="shared" si="223"/>
        <v>0</v>
      </c>
      <c r="T446" s="101">
        <f t="shared" si="223"/>
        <v>0</v>
      </c>
    </row>
    <row r="447" spans="1:20" s="25" customFormat="1" ht="32.25" customHeight="1" hidden="1">
      <c r="A447" s="5"/>
      <c r="B447" s="5"/>
      <c r="C447" s="66" t="s">
        <v>247</v>
      </c>
      <c r="D447" s="41"/>
      <c r="E447" s="57" t="s">
        <v>249</v>
      </c>
      <c r="F447" s="101">
        <f>F448</f>
        <v>0</v>
      </c>
      <c r="G447" s="101">
        <f t="shared" si="223"/>
        <v>10</v>
      </c>
      <c r="H447" s="101">
        <f t="shared" si="223"/>
        <v>10</v>
      </c>
      <c r="I447" s="101">
        <f t="shared" si="223"/>
        <v>0</v>
      </c>
      <c r="J447" s="101">
        <f t="shared" si="223"/>
        <v>0</v>
      </c>
      <c r="K447" s="101">
        <f t="shared" si="223"/>
        <v>0</v>
      </c>
      <c r="L447" s="101">
        <f t="shared" si="223"/>
        <v>0</v>
      </c>
      <c r="M447" s="160">
        <f t="shared" si="223"/>
        <v>0</v>
      </c>
      <c r="N447" s="101">
        <f t="shared" si="223"/>
        <v>0</v>
      </c>
      <c r="O447" s="186">
        <f t="shared" si="223"/>
        <v>0</v>
      </c>
      <c r="P447" s="101">
        <f t="shared" si="223"/>
        <v>0</v>
      </c>
      <c r="Q447" s="101">
        <f t="shared" si="223"/>
        <v>0</v>
      </c>
      <c r="R447" s="101">
        <f t="shared" si="223"/>
        <v>0</v>
      </c>
      <c r="S447" s="101">
        <f t="shared" si="223"/>
        <v>0</v>
      </c>
      <c r="T447" s="101">
        <f t="shared" si="223"/>
        <v>0</v>
      </c>
    </row>
    <row r="448" spans="1:20" s="25" customFormat="1" ht="33" customHeight="1" hidden="1">
      <c r="A448" s="5"/>
      <c r="B448" s="5"/>
      <c r="C448" s="66"/>
      <c r="D448" s="41" t="s">
        <v>11</v>
      </c>
      <c r="E448" s="67" t="s">
        <v>12</v>
      </c>
      <c r="F448" s="101"/>
      <c r="G448" s="93">
        <f>F448+SUM(H448:T448)</f>
        <v>10</v>
      </c>
      <c r="H448" s="101">
        <v>10</v>
      </c>
      <c r="I448" s="101"/>
      <c r="J448" s="101"/>
      <c r="K448" s="101"/>
      <c r="L448" s="101"/>
      <c r="M448" s="160"/>
      <c r="N448" s="101"/>
      <c r="O448" s="186"/>
      <c r="P448" s="101"/>
      <c r="Q448" s="101"/>
      <c r="R448" s="101"/>
      <c r="S448" s="101"/>
      <c r="T448" s="101"/>
    </row>
    <row r="449" spans="1:20" s="25" customFormat="1" ht="34.5" customHeight="1" hidden="1">
      <c r="A449" s="5"/>
      <c r="B449" s="5"/>
      <c r="C449" s="82" t="s">
        <v>250</v>
      </c>
      <c r="D449" s="41"/>
      <c r="E449" s="61" t="s">
        <v>119</v>
      </c>
      <c r="F449" s="101">
        <f>F450</f>
        <v>22</v>
      </c>
      <c r="G449" s="101">
        <f aca="true" t="shared" si="224" ref="G449:T451">G450</f>
        <v>22</v>
      </c>
      <c r="H449" s="119">
        <f t="shared" si="224"/>
        <v>0</v>
      </c>
      <c r="I449" s="119">
        <f t="shared" si="224"/>
        <v>0</v>
      </c>
      <c r="J449" s="119">
        <f t="shared" si="224"/>
        <v>0</v>
      </c>
      <c r="K449" s="119">
        <f t="shared" si="224"/>
        <v>0</v>
      </c>
      <c r="L449" s="119">
        <f t="shared" si="224"/>
        <v>0</v>
      </c>
      <c r="M449" s="121">
        <f t="shared" si="224"/>
        <v>0</v>
      </c>
      <c r="N449" s="119">
        <f t="shared" si="224"/>
        <v>0</v>
      </c>
      <c r="O449" s="185">
        <f t="shared" si="224"/>
        <v>0</v>
      </c>
      <c r="P449" s="119">
        <f t="shared" si="224"/>
        <v>0</v>
      </c>
      <c r="Q449" s="119">
        <f t="shared" si="224"/>
        <v>0</v>
      </c>
      <c r="R449" s="119">
        <f t="shared" si="224"/>
        <v>0</v>
      </c>
      <c r="S449" s="119">
        <f t="shared" si="224"/>
        <v>0</v>
      </c>
      <c r="T449" s="119">
        <f t="shared" si="224"/>
        <v>0</v>
      </c>
    </row>
    <row r="450" spans="1:20" s="25" customFormat="1" ht="43.5" customHeight="1" hidden="1">
      <c r="A450" s="5"/>
      <c r="B450" s="5"/>
      <c r="C450" s="66" t="s">
        <v>251</v>
      </c>
      <c r="D450" s="41"/>
      <c r="E450" s="57" t="s">
        <v>253</v>
      </c>
      <c r="F450" s="101">
        <f>F451</f>
        <v>22</v>
      </c>
      <c r="G450" s="101">
        <f t="shared" si="224"/>
        <v>22</v>
      </c>
      <c r="H450" s="119">
        <f t="shared" si="224"/>
        <v>0</v>
      </c>
      <c r="I450" s="119">
        <f t="shared" si="224"/>
        <v>0</v>
      </c>
      <c r="J450" s="119">
        <f t="shared" si="224"/>
        <v>0</v>
      </c>
      <c r="K450" s="119">
        <f t="shared" si="224"/>
        <v>0</v>
      </c>
      <c r="L450" s="119">
        <f t="shared" si="224"/>
        <v>0</v>
      </c>
      <c r="M450" s="121">
        <f t="shared" si="224"/>
        <v>0</v>
      </c>
      <c r="N450" s="119">
        <f t="shared" si="224"/>
        <v>0</v>
      </c>
      <c r="O450" s="185">
        <f t="shared" si="224"/>
        <v>0</v>
      </c>
      <c r="P450" s="119">
        <f t="shared" si="224"/>
        <v>0</v>
      </c>
      <c r="Q450" s="119">
        <f t="shared" si="224"/>
        <v>0</v>
      </c>
      <c r="R450" s="119">
        <f t="shared" si="224"/>
        <v>0</v>
      </c>
      <c r="S450" s="119">
        <f t="shared" si="224"/>
        <v>0</v>
      </c>
      <c r="T450" s="119">
        <f t="shared" si="224"/>
        <v>0</v>
      </c>
    </row>
    <row r="451" spans="1:20" s="25" customFormat="1" ht="38.25" customHeight="1" hidden="1">
      <c r="A451" s="5"/>
      <c r="B451" s="5"/>
      <c r="C451" s="66" t="s">
        <v>252</v>
      </c>
      <c r="D451" s="41"/>
      <c r="E451" s="57" t="s">
        <v>254</v>
      </c>
      <c r="F451" s="101">
        <f>F452</f>
        <v>22</v>
      </c>
      <c r="G451" s="101">
        <f t="shared" si="224"/>
        <v>22</v>
      </c>
      <c r="H451" s="119">
        <f t="shared" si="224"/>
        <v>0</v>
      </c>
      <c r="I451" s="119">
        <f t="shared" si="224"/>
        <v>0</v>
      </c>
      <c r="J451" s="119">
        <f t="shared" si="224"/>
        <v>0</v>
      </c>
      <c r="K451" s="119">
        <f t="shared" si="224"/>
        <v>0</v>
      </c>
      <c r="L451" s="119">
        <f t="shared" si="224"/>
        <v>0</v>
      </c>
      <c r="M451" s="121">
        <f t="shared" si="224"/>
        <v>0</v>
      </c>
      <c r="N451" s="119">
        <f t="shared" si="224"/>
        <v>0</v>
      </c>
      <c r="O451" s="185">
        <f t="shared" si="224"/>
        <v>0</v>
      </c>
      <c r="P451" s="119">
        <f t="shared" si="224"/>
        <v>0</v>
      </c>
      <c r="Q451" s="119">
        <f t="shared" si="224"/>
        <v>0</v>
      </c>
      <c r="R451" s="119">
        <f t="shared" si="224"/>
        <v>0</v>
      </c>
      <c r="S451" s="119">
        <f t="shared" si="224"/>
        <v>0</v>
      </c>
      <c r="T451" s="119">
        <f t="shared" si="224"/>
        <v>0</v>
      </c>
    </row>
    <row r="452" spans="1:20" s="25" customFormat="1" ht="32.25" customHeight="1" hidden="1">
      <c r="A452" s="5"/>
      <c r="B452" s="5"/>
      <c r="C452" s="66"/>
      <c r="D452" s="41" t="s">
        <v>3</v>
      </c>
      <c r="E452" s="67" t="s">
        <v>95</v>
      </c>
      <c r="F452" s="101">
        <v>22</v>
      </c>
      <c r="G452" s="93">
        <f>F452+SUM(H452:T452)</f>
        <v>22</v>
      </c>
      <c r="H452" s="119"/>
      <c r="I452" s="119"/>
      <c r="J452" s="119"/>
      <c r="K452" s="119"/>
      <c r="L452" s="119"/>
      <c r="M452" s="121"/>
      <c r="N452" s="119"/>
      <c r="O452" s="185"/>
      <c r="P452" s="119"/>
      <c r="Q452" s="119"/>
      <c r="R452" s="119"/>
      <c r="S452" s="119"/>
      <c r="T452" s="119"/>
    </row>
    <row r="453" spans="1:20" s="25" customFormat="1" ht="29.25" customHeight="1" hidden="1">
      <c r="A453" s="5"/>
      <c r="B453" s="5"/>
      <c r="C453" s="63" t="s">
        <v>425</v>
      </c>
      <c r="D453" s="11"/>
      <c r="E453" s="84" t="s">
        <v>143</v>
      </c>
      <c r="F453" s="119">
        <f>F456</f>
        <v>0</v>
      </c>
      <c r="G453" s="119">
        <f>G456+G454</f>
        <v>102.115</v>
      </c>
      <c r="H453" s="119">
        <f aca="true" t="shared" si="225" ref="H453:O453">H456+H454</f>
        <v>0</v>
      </c>
      <c r="I453" s="119">
        <f t="shared" si="225"/>
        <v>0</v>
      </c>
      <c r="J453" s="119">
        <f t="shared" si="225"/>
        <v>0</v>
      </c>
      <c r="K453" s="119">
        <f t="shared" si="225"/>
        <v>0</v>
      </c>
      <c r="L453" s="119">
        <f t="shared" si="225"/>
        <v>0</v>
      </c>
      <c r="M453" s="119">
        <f t="shared" si="225"/>
        <v>0</v>
      </c>
      <c r="N453" s="119">
        <f t="shared" si="225"/>
        <v>72.115</v>
      </c>
      <c r="O453" s="185">
        <f t="shared" si="225"/>
        <v>30</v>
      </c>
      <c r="P453" s="119">
        <f>P456</f>
        <v>0</v>
      </c>
      <c r="Q453" s="119">
        <f>Q456</f>
        <v>0</v>
      </c>
      <c r="R453" s="119">
        <f>R456+R454</f>
        <v>0</v>
      </c>
      <c r="S453" s="119">
        <f>S456+S454</f>
        <v>0</v>
      </c>
      <c r="T453" s="119">
        <f>T456</f>
        <v>0</v>
      </c>
    </row>
    <row r="454" spans="1:20" s="25" customFormat="1" ht="29.25" customHeight="1" hidden="1">
      <c r="A454" s="5"/>
      <c r="B454" s="5"/>
      <c r="C454" s="66" t="s">
        <v>548</v>
      </c>
      <c r="D454" s="41"/>
      <c r="E454" s="67" t="s">
        <v>470</v>
      </c>
      <c r="F454" s="79">
        <f>F455</f>
        <v>0</v>
      </c>
      <c r="G454" s="79">
        <f aca="true" t="shared" si="226" ref="G454:O454">G455</f>
        <v>30</v>
      </c>
      <c r="H454" s="79">
        <f t="shared" si="226"/>
        <v>0</v>
      </c>
      <c r="I454" s="79">
        <f t="shared" si="226"/>
        <v>0</v>
      </c>
      <c r="J454" s="79">
        <f t="shared" si="226"/>
        <v>0</v>
      </c>
      <c r="K454" s="79">
        <f t="shared" si="226"/>
        <v>0</v>
      </c>
      <c r="L454" s="79">
        <f t="shared" si="226"/>
        <v>0</v>
      </c>
      <c r="M454" s="79">
        <f t="shared" si="226"/>
        <v>0</v>
      </c>
      <c r="N454" s="79">
        <f t="shared" si="226"/>
        <v>0</v>
      </c>
      <c r="O454" s="115">
        <f t="shared" si="226"/>
        <v>30</v>
      </c>
      <c r="P454" s="119"/>
      <c r="Q454" s="119"/>
      <c r="R454" s="79">
        <f>R455</f>
        <v>0</v>
      </c>
      <c r="S454" s="79">
        <f>S455</f>
        <v>0</v>
      </c>
      <c r="T454" s="119"/>
    </row>
    <row r="455" spans="1:20" s="25" customFormat="1" ht="29.25" customHeight="1" hidden="1">
      <c r="A455" s="5"/>
      <c r="B455" s="5"/>
      <c r="C455" s="66"/>
      <c r="D455" s="41" t="s">
        <v>11</v>
      </c>
      <c r="E455" s="67" t="s">
        <v>12</v>
      </c>
      <c r="F455" s="79"/>
      <c r="G455" s="93">
        <f>F455+SUM(H455:T455)</f>
        <v>30</v>
      </c>
      <c r="H455" s="68"/>
      <c r="I455" s="68"/>
      <c r="J455" s="68"/>
      <c r="K455" s="68"/>
      <c r="L455" s="68"/>
      <c r="M455" s="70"/>
      <c r="N455" s="68"/>
      <c r="O455" s="51">
        <v>30</v>
      </c>
      <c r="P455" s="119"/>
      <c r="Q455" s="119"/>
      <c r="R455" s="68"/>
      <c r="S455" s="68"/>
      <c r="T455" s="119"/>
    </row>
    <row r="456" spans="1:20" s="25" customFormat="1" ht="32.25" customHeight="1" hidden="1">
      <c r="A456" s="5"/>
      <c r="B456" s="5"/>
      <c r="C456" s="66" t="s">
        <v>469</v>
      </c>
      <c r="D456" s="41"/>
      <c r="E456" s="67" t="s">
        <v>470</v>
      </c>
      <c r="F456" s="101">
        <f>F457</f>
        <v>0</v>
      </c>
      <c r="G456" s="101">
        <f aca="true" t="shared" si="227" ref="G456:T456">G457</f>
        <v>72.115</v>
      </c>
      <c r="H456" s="101">
        <f t="shared" si="227"/>
        <v>0</v>
      </c>
      <c r="I456" s="101">
        <f t="shared" si="227"/>
        <v>0</v>
      </c>
      <c r="J456" s="101">
        <f t="shared" si="227"/>
        <v>0</v>
      </c>
      <c r="K456" s="101">
        <f t="shared" si="227"/>
        <v>0</v>
      </c>
      <c r="L456" s="101">
        <f t="shared" si="227"/>
        <v>0</v>
      </c>
      <c r="M456" s="101">
        <f t="shared" si="227"/>
        <v>0</v>
      </c>
      <c r="N456" s="101">
        <f t="shared" si="227"/>
        <v>72.115</v>
      </c>
      <c r="O456" s="186">
        <f t="shared" si="227"/>
        <v>0</v>
      </c>
      <c r="P456" s="101">
        <f t="shared" si="227"/>
        <v>0</v>
      </c>
      <c r="Q456" s="101">
        <f t="shared" si="227"/>
        <v>0</v>
      </c>
      <c r="R456" s="101">
        <f t="shared" si="227"/>
        <v>0</v>
      </c>
      <c r="S456" s="101">
        <f t="shared" si="227"/>
        <v>0</v>
      </c>
      <c r="T456" s="101">
        <f t="shared" si="227"/>
        <v>0</v>
      </c>
    </row>
    <row r="457" spans="1:20" s="25" customFormat="1" ht="28.5" customHeight="1" hidden="1">
      <c r="A457" s="5"/>
      <c r="B457" s="5"/>
      <c r="C457" s="66"/>
      <c r="D457" s="41" t="s">
        <v>11</v>
      </c>
      <c r="E457" s="67" t="s">
        <v>12</v>
      </c>
      <c r="F457" s="101"/>
      <c r="G457" s="132">
        <f>F457+SUM(H457:T457)</f>
        <v>72.115</v>
      </c>
      <c r="H457" s="101"/>
      <c r="I457" s="101"/>
      <c r="J457" s="101"/>
      <c r="K457" s="101"/>
      <c r="L457" s="101"/>
      <c r="M457" s="121"/>
      <c r="N457" s="132">
        <v>72.115</v>
      </c>
      <c r="O457" s="185"/>
      <c r="P457" s="119"/>
      <c r="Q457" s="119"/>
      <c r="R457" s="132"/>
      <c r="S457" s="132"/>
      <c r="T457" s="119"/>
    </row>
    <row r="458" spans="1:20" s="25" customFormat="1" ht="12" hidden="1">
      <c r="A458" s="5"/>
      <c r="B458" s="5" t="s">
        <v>67</v>
      </c>
      <c r="C458" s="5"/>
      <c r="D458" s="5"/>
      <c r="E458" s="13" t="s">
        <v>68</v>
      </c>
      <c r="F458" s="119">
        <f>F459+F477</f>
        <v>5943.799999999999</v>
      </c>
      <c r="G458" s="119">
        <f aca="true" t="shared" si="228" ref="G458:T458">G459+G477</f>
        <v>6255.115</v>
      </c>
      <c r="H458" s="26">
        <f t="shared" si="228"/>
        <v>0</v>
      </c>
      <c r="I458" s="26">
        <f t="shared" si="228"/>
        <v>0</v>
      </c>
      <c r="J458" s="26">
        <f t="shared" si="228"/>
        <v>390.1</v>
      </c>
      <c r="K458" s="26">
        <f t="shared" si="228"/>
        <v>0</v>
      </c>
      <c r="L458" s="26">
        <f t="shared" si="228"/>
        <v>0</v>
      </c>
      <c r="M458" s="158">
        <f t="shared" si="228"/>
        <v>30</v>
      </c>
      <c r="N458" s="26">
        <f t="shared" si="228"/>
        <v>0</v>
      </c>
      <c r="O458" s="189">
        <f t="shared" si="228"/>
        <v>0</v>
      </c>
      <c r="P458" s="26">
        <f t="shared" si="228"/>
        <v>-3.785</v>
      </c>
      <c r="Q458" s="26">
        <f t="shared" si="228"/>
        <v>-105</v>
      </c>
      <c r="R458" s="26">
        <f>R459+R477</f>
        <v>0</v>
      </c>
      <c r="S458" s="26">
        <f>S459+S477</f>
        <v>0</v>
      </c>
      <c r="T458" s="26">
        <f t="shared" si="228"/>
        <v>0</v>
      </c>
    </row>
    <row r="459" spans="1:20" s="25" customFormat="1" ht="12" hidden="1">
      <c r="A459" s="5"/>
      <c r="B459" s="5" t="s">
        <v>69</v>
      </c>
      <c r="C459" s="16"/>
      <c r="D459" s="5"/>
      <c r="E459" s="20" t="s">
        <v>70</v>
      </c>
      <c r="F459" s="119">
        <f>F460</f>
        <v>4415.4</v>
      </c>
      <c r="G459" s="119">
        <f aca="true" t="shared" si="229" ref="G459:T459">G460</f>
        <v>4598.115</v>
      </c>
      <c r="H459" s="26">
        <f t="shared" si="229"/>
        <v>0</v>
      </c>
      <c r="I459" s="26">
        <f t="shared" si="229"/>
        <v>0</v>
      </c>
      <c r="J459" s="26">
        <f t="shared" si="229"/>
        <v>261.5</v>
      </c>
      <c r="K459" s="26">
        <f t="shared" si="229"/>
        <v>0</v>
      </c>
      <c r="L459" s="26">
        <f t="shared" si="229"/>
        <v>0</v>
      </c>
      <c r="M459" s="158">
        <f t="shared" si="229"/>
        <v>30</v>
      </c>
      <c r="N459" s="26">
        <f t="shared" si="229"/>
        <v>0</v>
      </c>
      <c r="O459" s="189">
        <f t="shared" si="229"/>
        <v>0</v>
      </c>
      <c r="P459" s="26">
        <f t="shared" si="229"/>
        <v>-3.785</v>
      </c>
      <c r="Q459" s="26">
        <f t="shared" si="229"/>
        <v>-105</v>
      </c>
      <c r="R459" s="26">
        <f t="shared" si="229"/>
        <v>0</v>
      </c>
      <c r="S459" s="26">
        <f t="shared" si="229"/>
        <v>0</v>
      </c>
      <c r="T459" s="26">
        <f t="shared" si="229"/>
        <v>0</v>
      </c>
    </row>
    <row r="460" spans="1:20" s="25" customFormat="1" ht="64.5" customHeight="1" hidden="1">
      <c r="A460" s="17"/>
      <c r="B460" s="5"/>
      <c r="C460" s="63" t="s">
        <v>273</v>
      </c>
      <c r="D460" s="11"/>
      <c r="E460" s="60" t="s">
        <v>123</v>
      </c>
      <c r="F460" s="95">
        <f>F461+F471</f>
        <v>4415.4</v>
      </c>
      <c r="G460" s="95">
        <f aca="true" t="shared" si="230" ref="G460:T460">G461+G471</f>
        <v>4598.115</v>
      </c>
      <c r="H460" s="73">
        <f t="shared" si="230"/>
        <v>0</v>
      </c>
      <c r="I460" s="73">
        <f t="shared" si="230"/>
        <v>0</v>
      </c>
      <c r="J460" s="73">
        <f t="shared" si="230"/>
        <v>261.5</v>
      </c>
      <c r="K460" s="73">
        <f t="shared" si="230"/>
        <v>0</v>
      </c>
      <c r="L460" s="73">
        <f t="shared" si="230"/>
        <v>0</v>
      </c>
      <c r="M460" s="77">
        <f t="shared" si="230"/>
        <v>30</v>
      </c>
      <c r="N460" s="73">
        <f t="shared" si="230"/>
        <v>0</v>
      </c>
      <c r="O460" s="50">
        <f t="shared" si="230"/>
        <v>0</v>
      </c>
      <c r="P460" s="73">
        <f t="shared" si="230"/>
        <v>-3.785</v>
      </c>
      <c r="Q460" s="73">
        <f t="shared" si="230"/>
        <v>-105</v>
      </c>
      <c r="R460" s="73">
        <f>R461+R471</f>
        <v>0</v>
      </c>
      <c r="S460" s="73">
        <f>S461+S471</f>
        <v>0</v>
      </c>
      <c r="T460" s="73">
        <f t="shared" si="230"/>
        <v>0</v>
      </c>
    </row>
    <row r="461" spans="1:21" s="25" customFormat="1" ht="25.5" hidden="1">
      <c r="A461" s="17"/>
      <c r="B461" s="5"/>
      <c r="C461" s="82" t="s">
        <v>299</v>
      </c>
      <c r="D461" s="41"/>
      <c r="E461" s="61" t="s">
        <v>126</v>
      </c>
      <c r="F461" s="79">
        <f>F462+F465+F468</f>
        <v>1076</v>
      </c>
      <c r="G461" s="79">
        <f>G462+G465+G468</f>
        <v>1106</v>
      </c>
      <c r="H461" s="68">
        <f aca="true" t="shared" si="231" ref="H461:T461">H462+H465+H468</f>
        <v>0</v>
      </c>
      <c r="I461" s="68">
        <f t="shared" si="231"/>
        <v>0</v>
      </c>
      <c r="J461" s="68">
        <f t="shared" si="231"/>
        <v>0</v>
      </c>
      <c r="K461" s="68">
        <f t="shared" si="231"/>
        <v>0</v>
      </c>
      <c r="L461" s="68">
        <f t="shared" si="231"/>
        <v>0</v>
      </c>
      <c r="M461" s="70">
        <f t="shared" si="231"/>
        <v>30</v>
      </c>
      <c r="N461" s="68">
        <f t="shared" si="231"/>
        <v>0</v>
      </c>
      <c r="O461" s="51">
        <f t="shared" si="231"/>
        <v>0</v>
      </c>
      <c r="P461" s="68">
        <f t="shared" si="231"/>
        <v>0</v>
      </c>
      <c r="Q461" s="68">
        <f t="shared" si="231"/>
        <v>0</v>
      </c>
      <c r="R461" s="68">
        <f>R462+R465+R468</f>
        <v>0</v>
      </c>
      <c r="S461" s="68">
        <f>S462+S465+S468</f>
        <v>0</v>
      </c>
      <c r="T461" s="68">
        <f t="shared" si="231"/>
        <v>0</v>
      </c>
      <c r="U461" s="34"/>
    </row>
    <row r="462" spans="1:21" s="25" customFormat="1" ht="38.25" hidden="1">
      <c r="A462" s="17"/>
      <c r="B462" s="17"/>
      <c r="C462" s="66" t="s">
        <v>300</v>
      </c>
      <c r="D462" s="41"/>
      <c r="E462" s="57" t="s">
        <v>303</v>
      </c>
      <c r="F462" s="79">
        <f>F463</f>
        <v>807.7</v>
      </c>
      <c r="G462" s="79">
        <f aca="true" t="shared" si="232" ref="G462:T463">G463</f>
        <v>837.7</v>
      </c>
      <c r="H462" s="68">
        <f t="shared" si="232"/>
        <v>0</v>
      </c>
      <c r="I462" s="68">
        <f t="shared" si="232"/>
        <v>0</v>
      </c>
      <c r="J462" s="68">
        <f t="shared" si="232"/>
        <v>0</v>
      </c>
      <c r="K462" s="68">
        <f t="shared" si="232"/>
        <v>0</v>
      </c>
      <c r="L462" s="68">
        <f t="shared" si="232"/>
        <v>0</v>
      </c>
      <c r="M462" s="70">
        <f t="shared" si="232"/>
        <v>30</v>
      </c>
      <c r="N462" s="68">
        <f t="shared" si="232"/>
        <v>0</v>
      </c>
      <c r="O462" s="51">
        <f t="shared" si="232"/>
        <v>0</v>
      </c>
      <c r="P462" s="68">
        <f t="shared" si="232"/>
        <v>0</v>
      </c>
      <c r="Q462" s="68">
        <f t="shared" si="232"/>
        <v>0</v>
      </c>
      <c r="R462" s="68">
        <f t="shared" si="232"/>
        <v>0</v>
      </c>
      <c r="S462" s="68">
        <f t="shared" si="232"/>
        <v>0</v>
      </c>
      <c r="T462" s="68">
        <f t="shared" si="232"/>
        <v>0</v>
      </c>
      <c r="U462" s="34"/>
    </row>
    <row r="463" spans="1:21" s="25" customFormat="1" ht="25.5" hidden="1">
      <c r="A463" s="17"/>
      <c r="B463" s="5"/>
      <c r="C463" s="66" t="s">
        <v>301</v>
      </c>
      <c r="D463" s="41"/>
      <c r="E463" s="57" t="s">
        <v>278</v>
      </c>
      <c r="F463" s="79">
        <f>F464</f>
        <v>807.7</v>
      </c>
      <c r="G463" s="79">
        <f t="shared" si="232"/>
        <v>837.7</v>
      </c>
      <c r="H463" s="68">
        <f t="shared" si="232"/>
        <v>0</v>
      </c>
      <c r="I463" s="68">
        <f t="shared" si="232"/>
        <v>0</v>
      </c>
      <c r="J463" s="68">
        <f t="shared" si="232"/>
        <v>0</v>
      </c>
      <c r="K463" s="68">
        <f t="shared" si="232"/>
        <v>0</v>
      </c>
      <c r="L463" s="68">
        <f t="shared" si="232"/>
        <v>0</v>
      </c>
      <c r="M463" s="70">
        <f t="shared" si="232"/>
        <v>30</v>
      </c>
      <c r="N463" s="68">
        <f t="shared" si="232"/>
        <v>0</v>
      </c>
      <c r="O463" s="51">
        <f t="shared" si="232"/>
        <v>0</v>
      </c>
      <c r="P463" s="68">
        <f t="shared" si="232"/>
        <v>0</v>
      </c>
      <c r="Q463" s="68">
        <f t="shared" si="232"/>
        <v>0</v>
      </c>
      <c r="R463" s="68">
        <f t="shared" si="232"/>
        <v>0</v>
      </c>
      <c r="S463" s="68">
        <f t="shared" si="232"/>
        <v>0</v>
      </c>
      <c r="T463" s="68">
        <f t="shared" si="232"/>
        <v>0</v>
      </c>
      <c r="U463" s="34"/>
    </row>
    <row r="464" spans="1:21" s="25" customFormat="1" ht="25.5" hidden="1">
      <c r="A464" s="17"/>
      <c r="B464" s="17"/>
      <c r="C464" s="66"/>
      <c r="D464" s="41" t="s">
        <v>11</v>
      </c>
      <c r="E464" s="67" t="s">
        <v>12</v>
      </c>
      <c r="F464" s="79">
        <v>807.7</v>
      </c>
      <c r="G464" s="93">
        <f>F464+SUM(H464:T464)</f>
        <v>837.7</v>
      </c>
      <c r="H464" s="68"/>
      <c r="I464" s="68"/>
      <c r="J464" s="69"/>
      <c r="K464" s="69"/>
      <c r="L464" s="68"/>
      <c r="M464" s="96">
        <v>30</v>
      </c>
      <c r="N464" s="68"/>
      <c r="O464" s="51"/>
      <c r="P464" s="68"/>
      <c r="Q464" s="68"/>
      <c r="R464" s="68"/>
      <c r="S464" s="68"/>
      <c r="T464" s="68"/>
      <c r="U464" s="34"/>
    </row>
    <row r="465" spans="1:20" s="25" customFormat="1" ht="25.5" hidden="1">
      <c r="A465" s="17"/>
      <c r="B465" s="17"/>
      <c r="C465" s="66" t="s">
        <v>304</v>
      </c>
      <c r="D465" s="41"/>
      <c r="E465" s="57" t="s">
        <v>306</v>
      </c>
      <c r="F465" s="79">
        <f>F466</f>
        <v>100</v>
      </c>
      <c r="G465" s="79">
        <f aca="true" t="shared" si="233" ref="G465:T466">G466</f>
        <v>100</v>
      </c>
      <c r="H465" s="68">
        <f t="shared" si="233"/>
        <v>0</v>
      </c>
      <c r="I465" s="68">
        <f t="shared" si="233"/>
        <v>0</v>
      </c>
      <c r="J465" s="68">
        <f t="shared" si="233"/>
        <v>0</v>
      </c>
      <c r="K465" s="68">
        <f t="shared" si="233"/>
        <v>0</v>
      </c>
      <c r="L465" s="68">
        <f t="shared" si="233"/>
        <v>0</v>
      </c>
      <c r="M465" s="70">
        <f t="shared" si="233"/>
        <v>0</v>
      </c>
      <c r="N465" s="68">
        <f t="shared" si="233"/>
        <v>0</v>
      </c>
      <c r="O465" s="51">
        <f t="shared" si="233"/>
        <v>0</v>
      </c>
      <c r="P465" s="68">
        <f t="shared" si="233"/>
        <v>0</v>
      </c>
      <c r="Q465" s="68">
        <f t="shared" si="233"/>
        <v>0</v>
      </c>
      <c r="R465" s="68">
        <f t="shared" si="233"/>
        <v>0</v>
      </c>
      <c r="S465" s="68">
        <f t="shared" si="233"/>
        <v>0</v>
      </c>
      <c r="T465" s="68">
        <f t="shared" si="233"/>
        <v>0</v>
      </c>
    </row>
    <row r="466" spans="1:21" s="34" customFormat="1" ht="25.5" hidden="1">
      <c r="A466" s="17"/>
      <c r="B466" s="17"/>
      <c r="C466" s="66" t="s">
        <v>305</v>
      </c>
      <c r="D466" s="41"/>
      <c r="E466" s="57" t="s">
        <v>307</v>
      </c>
      <c r="F466" s="79">
        <f>F467</f>
        <v>100</v>
      </c>
      <c r="G466" s="79">
        <f t="shared" si="233"/>
        <v>100</v>
      </c>
      <c r="H466" s="68">
        <f t="shared" si="233"/>
        <v>0</v>
      </c>
      <c r="I466" s="68">
        <f t="shared" si="233"/>
        <v>0</v>
      </c>
      <c r="J466" s="68">
        <f t="shared" si="233"/>
        <v>0</v>
      </c>
      <c r="K466" s="68">
        <f t="shared" si="233"/>
        <v>0</v>
      </c>
      <c r="L466" s="68">
        <f t="shared" si="233"/>
        <v>0</v>
      </c>
      <c r="M466" s="70">
        <f t="shared" si="233"/>
        <v>0</v>
      </c>
      <c r="N466" s="68">
        <f t="shared" si="233"/>
        <v>0</v>
      </c>
      <c r="O466" s="51">
        <f t="shared" si="233"/>
        <v>0</v>
      </c>
      <c r="P466" s="68">
        <f t="shared" si="233"/>
        <v>0</v>
      </c>
      <c r="Q466" s="68">
        <f t="shared" si="233"/>
        <v>0</v>
      </c>
      <c r="R466" s="68">
        <f t="shared" si="233"/>
        <v>0</v>
      </c>
      <c r="S466" s="68">
        <f t="shared" si="233"/>
        <v>0</v>
      </c>
      <c r="T466" s="68">
        <f t="shared" si="233"/>
        <v>0</v>
      </c>
      <c r="U466" s="25"/>
    </row>
    <row r="467" spans="1:21" s="34" customFormat="1" ht="25.5" hidden="1">
      <c r="A467" s="17"/>
      <c r="B467" s="17"/>
      <c r="C467" s="66"/>
      <c r="D467" s="41" t="s">
        <v>11</v>
      </c>
      <c r="E467" s="67" t="s">
        <v>12</v>
      </c>
      <c r="F467" s="79">
        <v>100</v>
      </c>
      <c r="G467" s="93">
        <f>F467+SUM(H467:T467)</f>
        <v>100</v>
      </c>
      <c r="H467" s="68"/>
      <c r="I467" s="68"/>
      <c r="J467" s="69"/>
      <c r="K467" s="69"/>
      <c r="L467" s="68"/>
      <c r="M467" s="70"/>
      <c r="N467" s="68"/>
      <c r="O467" s="51"/>
      <c r="P467" s="68"/>
      <c r="Q467" s="68"/>
      <c r="R467" s="68"/>
      <c r="S467" s="68"/>
      <c r="T467" s="68"/>
      <c r="U467" s="25"/>
    </row>
    <row r="468" spans="1:21" s="34" customFormat="1" ht="25.5" hidden="1">
      <c r="A468" s="17"/>
      <c r="B468" s="17"/>
      <c r="C468" s="66" t="s">
        <v>308</v>
      </c>
      <c r="D468" s="41"/>
      <c r="E468" s="57" t="s">
        <v>310</v>
      </c>
      <c r="F468" s="79">
        <f>F469</f>
        <v>168.3</v>
      </c>
      <c r="G468" s="79">
        <f aca="true" t="shared" si="234" ref="G468:T469">G469</f>
        <v>168.3</v>
      </c>
      <c r="H468" s="68">
        <f t="shared" si="234"/>
        <v>0</v>
      </c>
      <c r="I468" s="68">
        <f t="shared" si="234"/>
        <v>0</v>
      </c>
      <c r="J468" s="68">
        <f t="shared" si="234"/>
        <v>0</v>
      </c>
      <c r="K468" s="68">
        <f t="shared" si="234"/>
        <v>0</v>
      </c>
      <c r="L468" s="68">
        <f t="shared" si="234"/>
        <v>0</v>
      </c>
      <c r="M468" s="70">
        <f t="shared" si="234"/>
        <v>0</v>
      </c>
      <c r="N468" s="68">
        <f t="shared" si="234"/>
        <v>0</v>
      </c>
      <c r="O468" s="51">
        <f t="shared" si="234"/>
        <v>0</v>
      </c>
      <c r="P468" s="68">
        <f t="shared" si="234"/>
        <v>0</v>
      </c>
      <c r="Q468" s="68">
        <f t="shared" si="234"/>
        <v>0</v>
      </c>
      <c r="R468" s="68">
        <f t="shared" si="234"/>
        <v>0</v>
      </c>
      <c r="S468" s="68">
        <f t="shared" si="234"/>
        <v>0</v>
      </c>
      <c r="T468" s="68">
        <f t="shared" si="234"/>
        <v>0</v>
      </c>
      <c r="U468" s="25"/>
    </row>
    <row r="469" spans="1:21" s="34" customFormat="1" ht="12.75" hidden="1">
      <c r="A469" s="17"/>
      <c r="B469" s="17"/>
      <c r="C469" s="66" t="s">
        <v>309</v>
      </c>
      <c r="D469" s="41"/>
      <c r="E469" s="57" t="s">
        <v>288</v>
      </c>
      <c r="F469" s="79">
        <f>F470</f>
        <v>168.3</v>
      </c>
      <c r="G469" s="79">
        <f t="shared" si="234"/>
        <v>168.3</v>
      </c>
      <c r="H469" s="68">
        <f t="shared" si="234"/>
        <v>0</v>
      </c>
      <c r="I469" s="68">
        <f t="shared" si="234"/>
        <v>0</v>
      </c>
      <c r="J469" s="68">
        <f t="shared" si="234"/>
        <v>0</v>
      </c>
      <c r="K469" s="68">
        <f t="shared" si="234"/>
        <v>0</v>
      </c>
      <c r="L469" s="68">
        <f t="shared" si="234"/>
        <v>0</v>
      </c>
      <c r="M469" s="70">
        <f t="shared" si="234"/>
        <v>0</v>
      </c>
      <c r="N469" s="68">
        <f t="shared" si="234"/>
        <v>0</v>
      </c>
      <c r="O469" s="51">
        <f t="shared" si="234"/>
        <v>0</v>
      </c>
      <c r="P469" s="68">
        <f t="shared" si="234"/>
        <v>0</v>
      </c>
      <c r="Q469" s="68">
        <f t="shared" si="234"/>
        <v>0</v>
      </c>
      <c r="R469" s="68">
        <f t="shared" si="234"/>
        <v>0</v>
      </c>
      <c r="S469" s="68">
        <f t="shared" si="234"/>
        <v>0</v>
      </c>
      <c r="T469" s="68">
        <f t="shared" si="234"/>
        <v>0</v>
      </c>
      <c r="U469" s="25"/>
    </row>
    <row r="470" spans="1:21" s="34" customFormat="1" ht="25.5" hidden="1">
      <c r="A470" s="17"/>
      <c r="B470" s="17"/>
      <c r="C470" s="66"/>
      <c r="D470" s="41" t="s">
        <v>3</v>
      </c>
      <c r="E470" s="67" t="s">
        <v>95</v>
      </c>
      <c r="F470" s="79">
        <v>168.3</v>
      </c>
      <c r="G470" s="93">
        <f>F470+SUM(H470:T470)</f>
        <v>168.3</v>
      </c>
      <c r="H470" s="68"/>
      <c r="I470" s="68"/>
      <c r="J470" s="69"/>
      <c r="K470" s="69"/>
      <c r="L470" s="68"/>
      <c r="M470" s="70"/>
      <c r="N470" s="68"/>
      <c r="O470" s="51"/>
      <c r="P470" s="68"/>
      <c r="Q470" s="68"/>
      <c r="R470" s="68"/>
      <c r="S470" s="68"/>
      <c r="T470" s="68"/>
      <c r="U470" s="25"/>
    </row>
    <row r="471" spans="1:20" s="25" customFormat="1" ht="48" customHeight="1" hidden="1">
      <c r="A471" s="17"/>
      <c r="B471" s="5"/>
      <c r="C471" s="82" t="s">
        <v>319</v>
      </c>
      <c r="D471" s="41"/>
      <c r="E471" s="61" t="s">
        <v>128</v>
      </c>
      <c r="F471" s="79">
        <f>F472</f>
        <v>3339.4</v>
      </c>
      <c r="G471" s="79">
        <f aca="true" t="shared" si="235" ref="G471:S471">G472</f>
        <v>3492.1150000000002</v>
      </c>
      <c r="H471" s="68">
        <f t="shared" si="235"/>
        <v>0</v>
      </c>
      <c r="I471" s="68">
        <f t="shared" si="235"/>
        <v>0</v>
      </c>
      <c r="J471" s="68">
        <f t="shared" si="235"/>
        <v>261.5</v>
      </c>
      <c r="K471" s="68">
        <f t="shared" si="235"/>
        <v>0</v>
      </c>
      <c r="L471" s="68">
        <f t="shared" si="235"/>
        <v>0</v>
      </c>
      <c r="M471" s="70">
        <f t="shared" si="235"/>
        <v>0</v>
      </c>
      <c r="N471" s="68">
        <f t="shared" si="235"/>
        <v>0</v>
      </c>
      <c r="O471" s="51">
        <f t="shared" si="235"/>
        <v>0</v>
      </c>
      <c r="P471" s="68">
        <f t="shared" si="235"/>
        <v>-3.785</v>
      </c>
      <c r="Q471" s="68">
        <f t="shared" si="235"/>
        <v>-105</v>
      </c>
      <c r="R471" s="68">
        <f t="shared" si="235"/>
        <v>0</v>
      </c>
      <c r="S471" s="68">
        <f t="shared" si="235"/>
        <v>0</v>
      </c>
      <c r="T471" s="68">
        <f>T472</f>
        <v>0</v>
      </c>
    </row>
    <row r="472" spans="1:20" s="25" customFormat="1" ht="48" customHeight="1" hidden="1">
      <c r="A472" s="17"/>
      <c r="B472" s="5"/>
      <c r="C472" s="66" t="s">
        <v>320</v>
      </c>
      <c r="D472" s="41"/>
      <c r="E472" s="57" t="s">
        <v>165</v>
      </c>
      <c r="F472" s="79">
        <f>F473</f>
        <v>3339.4</v>
      </c>
      <c r="G472" s="79">
        <f aca="true" t="shared" si="236" ref="G472:T472">G473</f>
        <v>3492.1150000000002</v>
      </c>
      <c r="H472" s="68">
        <f t="shared" si="236"/>
        <v>0</v>
      </c>
      <c r="I472" s="68">
        <f t="shared" si="236"/>
        <v>0</v>
      </c>
      <c r="J472" s="68">
        <f t="shared" si="236"/>
        <v>261.5</v>
      </c>
      <c r="K472" s="68">
        <f t="shared" si="236"/>
        <v>0</v>
      </c>
      <c r="L472" s="68">
        <f t="shared" si="236"/>
        <v>0</v>
      </c>
      <c r="M472" s="70">
        <f t="shared" si="236"/>
        <v>0</v>
      </c>
      <c r="N472" s="68">
        <f t="shared" si="236"/>
        <v>0</v>
      </c>
      <c r="O472" s="51">
        <f t="shared" si="236"/>
        <v>0</v>
      </c>
      <c r="P472" s="68">
        <f t="shared" si="236"/>
        <v>-3.785</v>
      </c>
      <c r="Q472" s="68">
        <f t="shared" si="236"/>
        <v>-105</v>
      </c>
      <c r="R472" s="68">
        <f t="shared" si="236"/>
        <v>0</v>
      </c>
      <c r="S472" s="68">
        <f t="shared" si="236"/>
        <v>0</v>
      </c>
      <c r="T472" s="68">
        <f t="shared" si="236"/>
        <v>0</v>
      </c>
    </row>
    <row r="473" spans="1:20" s="25" customFormat="1" ht="48" customHeight="1" hidden="1">
      <c r="A473" s="17"/>
      <c r="B473" s="5"/>
      <c r="C473" s="66" t="s">
        <v>321</v>
      </c>
      <c r="D473" s="41"/>
      <c r="E473" s="57" t="s">
        <v>166</v>
      </c>
      <c r="F473" s="79">
        <f>F474+F475+F476</f>
        <v>3339.4</v>
      </c>
      <c r="G473" s="79">
        <f aca="true" t="shared" si="237" ref="G473:M473">G474+G475+G476</f>
        <v>3492.1150000000002</v>
      </c>
      <c r="H473" s="79">
        <f t="shared" si="237"/>
        <v>0</v>
      </c>
      <c r="I473" s="79">
        <f t="shared" si="237"/>
        <v>0</v>
      </c>
      <c r="J473" s="79">
        <f t="shared" si="237"/>
        <v>261.5</v>
      </c>
      <c r="K473" s="79">
        <f t="shared" si="237"/>
        <v>0</v>
      </c>
      <c r="L473" s="79">
        <f t="shared" si="237"/>
        <v>0</v>
      </c>
      <c r="M473" s="96">
        <f t="shared" si="237"/>
        <v>0</v>
      </c>
      <c r="N473" s="68">
        <f aca="true" t="shared" si="238" ref="N473:T473">N474+N475+N476</f>
        <v>0</v>
      </c>
      <c r="O473" s="51">
        <f t="shared" si="238"/>
        <v>0</v>
      </c>
      <c r="P473" s="68">
        <f t="shared" si="238"/>
        <v>-3.785</v>
      </c>
      <c r="Q473" s="68">
        <f t="shared" si="238"/>
        <v>-105</v>
      </c>
      <c r="R473" s="68">
        <f t="shared" si="238"/>
        <v>0</v>
      </c>
      <c r="S473" s="68">
        <f t="shared" si="238"/>
        <v>0</v>
      </c>
      <c r="T473" s="68">
        <f t="shared" si="238"/>
        <v>0</v>
      </c>
    </row>
    <row r="474" spans="1:20" s="25" customFormat="1" ht="56.25" customHeight="1" hidden="1">
      <c r="A474" s="17"/>
      <c r="B474" s="5"/>
      <c r="C474" s="66"/>
      <c r="D474" s="41" t="s">
        <v>2</v>
      </c>
      <c r="E474" s="67" t="s">
        <v>94</v>
      </c>
      <c r="F474" s="79">
        <v>2907.4</v>
      </c>
      <c r="G474" s="93">
        <f>F474+SUM(H474:T474)</f>
        <v>3168.9</v>
      </c>
      <c r="H474" s="68"/>
      <c r="I474" s="68"/>
      <c r="J474" s="69">
        <v>261.5</v>
      </c>
      <c r="K474" s="69"/>
      <c r="L474" s="68"/>
      <c r="M474" s="96"/>
      <c r="N474" s="68"/>
      <c r="O474" s="51"/>
      <c r="P474" s="68"/>
      <c r="Q474" s="68"/>
      <c r="R474" s="68"/>
      <c r="S474" s="68"/>
      <c r="T474" s="68"/>
    </row>
    <row r="475" spans="1:20" s="25" customFormat="1" ht="48" customHeight="1" hidden="1">
      <c r="A475" s="17"/>
      <c r="B475" s="5"/>
      <c r="C475" s="66"/>
      <c r="D475" s="41" t="s">
        <v>3</v>
      </c>
      <c r="E475" s="67" t="s">
        <v>95</v>
      </c>
      <c r="F475" s="79">
        <v>420.1</v>
      </c>
      <c r="G475" s="93">
        <f>F475+SUM(H475:T475)</f>
        <v>297.31500000000005</v>
      </c>
      <c r="H475" s="68"/>
      <c r="I475" s="68"/>
      <c r="J475" s="69"/>
      <c r="K475" s="69"/>
      <c r="L475" s="68"/>
      <c r="M475" s="70">
        <f>-14</f>
        <v>-14</v>
      </c>
      <c r="N475" s="68"/>
      <c r="O475" s="51"/>
      <c r="P475" s="68">
        <v>-3.785</v>
      </c>
      <c r="Q475" s="68">
        <v>-105</v>
      </c>
      <c r="R475" s="68"/>
      <c r="S475" s="68"/>
      <c r="T475" s="68"/>
    </row>
    <row r="476" spans="1:20" s="25" customFormat="1" ht="12.75" hidden="1">
      <c r="A476" s="17"/>
      <c r="B476" s="5"/>
      <c r="C476" s="66"/>
      <c r="D476" s="41" t="s">
        <v>4</v>
      </c>
      <c r="E476" s="67" t="s">
        <v>5</v>
      </c>
      <c r="F476" s="79">
        <v>11.9</v>
      </c>
      <c r="G476" s="132">
        <f>F476+SUM(H476:T476)</f>
        <v>25.9</v>
      </c>
      <c r="H476" s="68"/>
      <c r="I476" s="68"/>
      <c r="J476" s="69"/>
      <c r="K476" s="69"/>
      <c r="L476" s="68"/>
      <c r="M476" s="70">
        <f>14</f>
        <v>14</v>
      </c>
      <c r="N476" s="68"/>
      <c r="O476" s="51"/>
      <c r="P476" s="68"/>
      <c r="Q476" s="68"/>
      <c r="R476" s="68"/>
      <c r="S476" s="68"/>
      <c r="T476" s="68"/>
    </row>
    <row r="477" spans="1:20" s="25" customFormat="1" ht="12" hidden="1">
      <c r="A477" s="17"/>
      <c r="B477" s="5" t="s">
        <v>71</v>
      </c>
      <c r="C477" s="5"/>
      <c r="D477" s="5"/>
      <c r="E477" s="20" t="s">
        <v>72</v>
      </c>
      <c r="F477" s="119">
        <f>F478</f>
        <v>1528.4</v>
      </c>
      <c r="G477" s="119">
        <f aca="true" t="shared" si="239" ref="G477:T480">G478</f>
        <v>1657</v>
      </c>
      <c r="H477" s="26">
        <f t="shared" si="239"/>
        <v>0</v>
      </c>
      <c r="I477" s="26">
        <f t="shared" si="239"/>
        <v>0</v>
      </c>
      <c r="J477" s="26">
        <f t="shared" si="239"/>
        <v>128.6</v>
      </c>
      <c r="K477" s="26">
        <f t="shared" si="239"/>
        <v>0</v>
      </c>
      <c r="L477" s="26">
        <f t="shared" si="239"/>
        <v>0</v>
      </c>
      <c r="M477" s="158">
        <f t="shared" si="239"/>
        <v>0</v>
      </c>
      <c r="N477" s="26">
        <f t="shared" si="239"/>
        <v>0</v>
      </c>
      <c r="O477" s="189">
        <f t="shared" si="239"/>
        <v>0</v>
      </c>
      <c r="P477" s="26">
        <f t="shared" si="239"/>
        <v>0</v>
      </c>
      <c r="Q477" s="26">
        <f t="shared" si="239"/>
        <v>0</v>
      </c>
      <c r="R477" s="26">
        <f t="shared" si="239"/>
        <v>0</v>
      </c>
      <c r="S477" s="26">
        <f t="shared" si="239"/>
        <v>0</v>
      </c>
      <c r="T477" s="26">
        <f t="shared" si="239"/>
        <v>0</v>
      </c>
    </row>
    <row r="478" spans="1:20" s="25" customFormat="1" ht="61.5" customHeight="1" hidden="1">
      <c r="A478" s="17"/>
      <c r="B478" s="5"/>
      <c r="C478" s="63" t="s">
        <v>273</v>
      </c>
      <c r="D478" s="11"/>
      <c r="E478" s="60" t="s">
        <v>123</v>
      </c>
      <c r="F478" s="95">
        <f>F479</f>
        <v>1528.4</v>
      </c>
      <c r="G478" s="95">
        <f t="shared" si="239"/>
        <v>1657</v>
      </c>
      <c r="H478" s="73">
        <f t="shared" si="239"/>
        <v>0</v>
      </c>
      <c r="I478" s="73">
        <f t="shared" si="239"/>
        <v>0</v>
      </c>
      <c r="J478" s="73">
        <f t="shared" si="239"/>
        <v>128.6</v>
      </c>
      <c r="K478" s="73">
        <f t="shared" si="239"/>
        <v>0</v>
      </c>
      <c r="L478" s="73">
        <f t="shared" si="239"/>
        <v>0</v>
      </c>
      <c r="M478" s="77">
        <f t="shared" si="239"/>
        <v>0</v>
      </c>
      <c r="N478" s="73">
        <f t="shared" si="239"/>
        <v>0</v>
      </c>
      <c r="O478" s="50">
        <f t="shared" si="239"/>
        <v>0</v>
      </c>
      <c r="P478" s="73">
        <f t="shared" si="239"/>
        <v>0</v>
      </c>
      <c r="Q478" s="73">
        <f t="shared" si="239"/>
        <v>0</v>
      </c>
      <c r="R478" s="73">
        <f t="shared" si="239"/>
        <v>0</v>
      </c>
      <c r="S478" s="73">
        <f t="shared" si="239"/>
        <v>0</v>
      </c>
      <c r="T478" s="73">
        <f t="shared" si="239"/>
        <v>0</v>
      </c>
    </row>
    <row r="479" spans="1:21" s="25" customFormat="1" ht="54" customHeight="1" hidden="1">
      <c r="A479" s="17"/>
      <c r="B479" s="17"/>
      <c r="C479" s="82" t="s">
        <v>319</v>
      </c>
      <c r="D479" s="41"/>
      <c r="E479" s="61" t="s">
        <v>128</v>
      </c>
      <c r="F479" s="79">
        <f>F480</f>
        <v>1528.4</v>
      </c>
      <c r="G479" s="79">
        <f t="shared" si="239"/>
        <v>1657</v>
      </c>
      <c r="H479" s="68">
        <f t="shared" si="239"/>
        <v>0</v>
      </c>
      <c r="I479" s="68">
        <f t="shared" si="239"/>
        <v>0</v>
      </c>
      <c r="J479" s="68">
        <f t="shared" si="239"/>
        <v>128.6</v>
      </c>
      <c r="K479" s="68">
        <f t="shared" si="239"/>
        <v>0</v>
      </c>
      <c r="L479" s="68">
        <f t="shared" si="239"/>
        <v>0</v>
      </c>
      <c r="M479" s="70">
        <f t="shared" si="239"/>
        <v>0</v>
      </c>
      <c r="N479" s="68">
        <f t="shared" si="239"/>
        <v>0</v>
      </c>
      <c r="O479" s="51">
        <f t="shared" si="239"/>
        <v>0</v>
      </c>
      <c r="P479" s="68">
        <f t="shared" si="239"/>
        <v>0</v>
      </c>
      <c r="Q479" s="68">
        <f t="shared" si="239"/>
        <v>0</v>
      </c>
      <c r="R479" s="68">
        <f t="shared" si="239"/>
        <v>0</v>
      </c>
      <c r="S479" s="68">
        <f t="shared" si="239"/>
        <v>0</v>
      </c>
      <c r="T479" s="68">
        <f t="shared" si="239"/>
        <v>0</v>
      </c>
      <c r="U479" s="24"/>
    </row>
    <row r="480" spans="1:20" s="25" customFormat="1" ht="25.5" hidden="1">
      <c r="A480" s="17"/>
      <c r="B480" s="5"/>
      <c r="C480" s="66" t="s">
        <v>323</v>
      </c>
      <c r="D480" s="41"/>
      <c r="E480" s="57" t="s">
        <v>518</v>
      </c>
      <c r="F480" s="79">
        <f>F481</f>
        <v>1528.4</v>
      </c>
      <c r="G480" s="79">
        <f t="shared" si="239"/>
        <v>1657</v>
      </c>
      <c r="H480" s="68">
        <f t="shared" si="239"/>
        <v>0</v>
      </c>
      <c r="I480" s="68">
        <f t="shared" si="239"/>
        <v>0</v>
      </c>
      <c r="J480" s="68">
        <f t="shared" si="239"/>
        <v>128.6</v>
      </c>
      <c r="K480" s="68">
        <f t="shared" si="239"/>
        <v>0</v>
      </c>
      <c r="L480" s="68">
        <f t="shared" si="239"/>
        <v>0</v>
      </c>
      <c r="M480" s="70">
        <f t="shared" si="239"/>
        <v>0</v>
      </c>
      <c r="N480" s="68">
        <f t="shared" si="239"/>
        <v>0</v>
      </c>
      <c r="O480" s="51">
        <f t="shared" si="239"/>
        <v>0</v>
      </c>
      <c r="P480" s="68">
        <f t="shared" si="239"/>
        <v>0</v>
      </c>
      <c r="Q480" s="68">
        <f t="shared" si="239"/>
        <v>0</v>
      </c>
      <c r="R480" s="68">
        <f t="shared" si="239"/>
        <v>0</v>
      </c>
      <c r="S480" s="68">
        <f t="shared" si="239"/>
        <v>0</v>
      </c>
      <c r="T480" s="68">
        <f t="shared" si="239"/>
        <v>0</v>
      </c>
    </row>
    <row r="481" spans="1:20" s="25" customFormat="1" ht="25.5" hidden="1">
      <c r="A481" s="17"/>
      <c r="B481" s="5"/>
      <c r="C481" s="66" t="s">
        <v>322</v>
      </c>
      <c r="D481" s="41"/>
      <c r="E481" s="57" t="s">
        <v>278</v>
      </c>
      <c r="F481" s="79">
        <f>F482+F483</f>
        <v>1528.4</v>
      </c>
      <c r="G481" s="79">
        <f aca="true" t="shared" si="240" ref="G481:T481">G482+G483</f>
        <v>1657</v>
      </c>
      <c r="H481" s="68">
        <f t="shared" si="240"/>
        <v>0</v>
      </c>
      <c r="I481" s="68">
        <f t="shared" si="240"/>
        <v>0</v>
      </c>
      <c r="J481" s="68">
        <f t="shared" si="240"/>
        <v>128.6</v>
      </c>
      <c r="K481" s="68">
        <f t="shared" si="240"/>
        <v>0</v>
      </c>
      <c r="L481" s="68">
        <f t="shared" si="240"/>
        <v>0</v>
      </c>
      <c r="M481" s="70">
        <f t="shared" si="240"/>
        <v>0</v>
      </c>
      <c r="N481" s="68">
        <f t="shared" si="240"/>
        <v>0</v>
      </c>
      <c r="O481" s="51">
        <f t="shared" si="240"/>
        <v>0</v>
      </c>
      <c r="P481" s="68">
        <f t="shared" si="240"/>
        <v>0</v>
      </c>
      <c r="Q481" s="68">
        <f t="shared" si="240"/>
        <v>0</v>
      </c>
      <c r="R481" s="68">
        <f>R482+R483</f>
        <v>0</v>
      </c>
      <c r="S481" s="68">
        <f>S482+S483</f>
        <v>0</v>
      </c>
      <c r="T481" s="68">
        <f t="shared" si="240"/>
        <v>0</v>
      </c>
    </row>
    <row r="482" spans="1:20" s="25" customFormat="1" ht="51" hidden="1">
      <c r="A482" s="17"/>
      <c r="B482" s="5"/>
      <c r="C482" s="66"/>
      <c r="D482" s="41" t="s">
        <v>2</v>
      </c>
      <c r="E482" s="67" t="s">
        <v>94</v>
      </c>
      <c r="F482" s="79">
        <v>1391</v>
      </c>
      <c r="G482" s="93">
        <f>F482+SUM(H482:T482)</f>
        <v>1519.6</v>
      </c>
      <c r="H482" s="68"/>
      <c r="I482" s="68"/>
      <c r="J482" s="69">
        <v>128.6</v>
      </c>
      <c r="K482" s="69"/>
      <c r="L482" s="68"/>
      <c r="M482" s="70"/>
      <c r="N482" s="68"/>
      <c r="O482" s="51"/>
      <c r="P482" s="68"/>
      <c r="Q482" s="68"/>
      <c r="R482" s="68"/>
      <c r="S482" s="68"/>
      <c r="T482" s="68"/>
    </row>
    <row r="483" spans="1:20" s="25" customFormat="1" ht="25.5" hidden="1">
      <c r="A483" s="17"/>
      <c r="B483" s="5"/>
      <c r="C483" s="66"/>
      <c r="D483" s="41" t="s">
        <v>3</v>
      </c>
      <c r="E483" s="67" t="s">
        <v>95</v>
      </c>
      <c r="F483" s="93">
        <v>137.4</v>
      </c>
      <c r="G483" s="93">
        <f>F483+SUM(H483:T483)</f>
        <v>137.4</v>
      </c>
      <c r="H483" s="64"/>
      <c r="I483" s="64"/>
      <c r="J483" s="65"/>
      <c r="K483" s="65"/>
      <c r="L483" s="64"/>
      <c r="M483" s="78"/>
      <c r="N483" s="64"/>
      <c r="O483" s="191"/>
      <c r="P483" s="64"/>
      <c r="Q483" s="64"/>
      <c r="R483" s="64"/>
      <c r="S483" s="64"/>
      <c r="T483" s="64"/>
    </row>
    <row r="484" spans="1:21" s="24" customFormat="1" ht="12">
      <c r="A484" s="5"/>
      <c r="B484" s="5" t="s">
        <v>73</v>
      </c>
      <c r="C484" s="16"/>
      <c r="D484" s="5"/>
      <c r="E484" s="13" t="s">
        <v>85</v>
      </c>
      <c r="F484" s="119">
        <f>F485</f>
        <v>23548.1</v>
      </c>
      <c r="G484" s="119">
        <f>G485</f>
        <v>25185.885</v>
      </c>
      <c r="H484" s="26">
        <f aca="true" t="shared" si="241" ref="H484:N484">H485</f>
        <v>0</v>
      </c>
      <c r="I484" s="26">
        <f t="shared" si="241"/>
        <v>395</v>
      </c>
      <c r="J484" s="26">
        <f t="shared" si="241"/>
        <v>0</v>
      </c>
      <c r="K484" s="26">
        <f t="shared" si="241"/>
        <v>0</v>
      </c>
      <c r="L484" s="26">
        <f t="shared" si="241"/>
        <v>0</v>
      </c>
      <c r="M484" s="158">
        <f t="shared" si="241"/>
        <v>34</v>
      </c>
      <c r="N484" s="26">
        <f t="shared" si="241"/>
        <v>300</v>
      </c>
      <c r="O484" s="189">
        <f aca="true" t="shared" si="242" ref="O484:T484">O485</f>
        <v>0</v>
      </c>
      <c r="P484" s="26">
        <f t="shared" si="242"/>
        <v>3.7849999999999966</v>
      </c>
      <c r="Q484" s="26">
        <f t="shared" si="242"/>
        <v>45</v>
      </c>
      <c r="R484" s="26">
        <f t="shared" si="242"/>
        <v>300</v>
      </c>
      <c r="S484" s="26">
        <f t="shared" si="242"/>
        <v>560</v>
      </c>
      <c r="T484" s="26">
        <f t="shared" si="242"/>
        <v>0</v>
      </c>
      <c r="U484" s="25"/>
    </row>
    <row r="485" spans="1:21" s="24" customFormat="1" ht="12">
      <c r="A485" s="5"/>
      <c r="B485" s="5" t="s">
        <v>74</v>
      </c>
      <c r="C485" s="16"/>
      <c r="D485" s="5"/>
      <c r="E485" s="13" t="s">
        <v>75</v>
      </c>
      <c r="F485" s="119">
        <f>F486+F490</f>
        <v>23548.1</v>
      </c>
      <c r="G485" s="119">
        <f aca="true" t="shared" si="243" ref="G485:T485">G486+G490</f>
        <v>25185.885</v>
      </c>
      <c r="H485" s="26">
        <f t="shared" si="243"/>
        <v>0</v>
      </c>
      <c r="I485" s="26">
        <f t="shared" si="243"/>
        <v>395</v>
      </c>
      <c r="J485" s="26">
        <f t="shared" si="243"/>
        <v>0</v>
      </c>
      <c r="K485" s="26">
        <f t="shared" si="243"/>
        <v>0</v>
      </c>
      <c r="L485" s="26">
        <f t="shared" si="243"/>
        <v>0</v>
      </c>
      <c r="M485" s="158">
        <f t="shared" si="243"/>
        <v>34</v>
      </c>
      <c r="N485" s="26">
        <f t="shared" si="243"/>
        <v>300</v>
      </c>
      <c r="O485" s="189">
        <f t="shared" si="243"/>
        <v>0</v>
      </c>
      <c r="P485" s="26">
        <f t="shared" si="243"/>
        <v>3.7849999999999966</v>
      </c>
      <c r="Q485" s="26">
        <f t="shared" si="243"/>
        <v>45</v>
      </c>
      <c r="R485" s="26">
        <f>R486+R490</f>
        <v>300</v>
      </c>
      <c r="S485" s="26">
        <f>S486+S490</f>
        <v>560</v>
      </c>
      <c r="T485" s="26">
        <f t="shared" si="243"/>
        <v>0</v>
      </c>
      <c r="U485" s="25"/>
    </row>
    <row r="486" spans="1:20" s="25" customFormat="1" ht="51" hidden="1">
      <c r="A486" s="17"/>
      <c r="B486" s="5"/>
      <c r="C486" s="63" t="s">
        <v>192</v>
      </c>
      <c r="D486" s="11"/>
      <c r="E486" s="60" t="s">
        <v>113</v>
      </c>
      <c r="F486" s="94">
        <f>F487</f>
        <v>0</v>
      </c>
      <c r="G486" s="94">
        <f aca="true" t="shared" si="244" ref="G486:T488">G487</f>
        <v>0</v>
      </c>
      <c r="H486" s="71">
        <f t="shared" si="244"/>
        <v>0</v>
      </c>
      <c r="I486" s="71">
        <f t="shared" si="244"/>
        <v>0</v>
      </c>
      <c r="J486" s="71">
        <f t="shared" si="244"/>
        <v>0</v>
      </c>
      <c r="K486" s="71">
        <f t="shared" si="244"/>
        <v>0</v>
      </c>
      <c r="L486" s="71">
        <f t="shared" si="244"/>
        <v>0</v>
      </c>
      <c r="M486" s="156">
        <f t="shared" si="244"/>
        <v>0</v>
      </c>
      <c r="N486" s="71">
        <f t="shared" si="244"/>
        <v>0</v>
      </c>
      <c r="O486" s="190">
        <f t="shared" si="244"/>
        <v>0</v>
      </c>
      <c r="P486" s="71">
        <f t="shared" si="244"/>
        <v>0</v>
      </c>
      <c r="Q486" s="71">
        <f t="shared" si="244"/>
        <v>0</v>
      </c>
      <c r="R486" s="71">
        <f t="shared" si="244"/>
        <v>0</v>
      </c>
      <c r="S486" s="71">
        <f t="shared" si="244"/>
        <v>0</v>
      </c>
      <c r="T486" s="71">
        <f t="shared" si="244"/>
        <v>0</v>
      </c>
    </row>
    <row r="487" spans="1:20" s="25" customFormat="1" ht="51" hidden="1">
      <c r="A487" s="17"/>
      <c r="B487" s="5"/>
      <c r="C487" s="82" t="s">
        <v>193</v>
      </c>
      <c r="D487" s="41"/>
      <c r="E487" s="61" t="s">
        <v>195</v>
      </c>
      <c r="F487" s="93">
        <f>F488</f>
        <v>0</v>
      </c>
      <c r="G487" s="93">
        <f t="shared" si="244"/>
        <v>0</v>
      </c>
      <c r="H487" s="64">
        <f t="shared" si="244"/>
        <v>0</v>
      </c>
      <c r="I487" s="64">
        <f t="shared" si="244"/>
        <v>0</v>
      </c>
      <c r="J487" s="64">
        <f t="shared" si="244"/>
        <v>0</v>
      </c>
      <c r="K487" s="64">
        <f t="shared" si="244"/>
        <v>0</v>
      </c>
      <c r="L487" s="64">
        <f t="shared" si="244"/>
        <v>0</v>
      </c>
      <c r="M487" s="78">
        <f t="shared" si="244"/>
        <v>0</v>
      </c>
      <c r="N487" s="64">
        <f t="shared" si="244"/>
        <v>0</v>
      </c>
      <c r="O487" s="191">
        <f t="shared" si="244"/>
        <v>0</v>
      </c>
      <c r="P487" s="64">
        <f t="shared" si="244"/>
        <v>0</v>
      </c>
      <c r="Q487" s="64">
        <f t="shared" si="244"/>
        <v>0</v>
      </c>
      <c r="R487" s="64">
        <f t="shared" si="244"/>
        <v>0</v>
      </c>
      <c r="S487" s="64">
        <f t="shared" si="244"/>
        <v>0</v>
      </c>
      <c r="T487" s="64">
        <f t="shared" si="244"/>
        <v>0</v>
      </c>
    </row>
    <row r="488" spans="1:20" s="25" customFormat="1" ht="48.75" customHeight="1" hidden="1">
      <c r="A488" s="17"/>
      <c r="B488" s="5"/>
      <c r="C488" s="66" t="s">
        <v>194</v>
      </c>
      <c r="D488" s="41"/>
      <c r="E488" s="57" t="s">
        <v>196</v>
      </c>
      <c r="F488" s="93">
        <f>F489</f>
        <v>0</v>
      </c>
      <c r="G488" s="93">
        <f t="shared" si="244"/>
        <v>0</v>
      </c>
      <c r="H488" s="64">
        <f t="shared" si="244"/>
        <v>0</v>
      </c>
      <c r="I488" s="64">
        <f t="shared" si="244"/>
        <v>0</v>
      </c>
      <c r="J488" s="64">
        <f t="shared" si="244"/>
        <v>0</v>
      </c>
      <c r="K488" s="64">
        <f t="shared" si="244"/>
        <v>0</v>
      </c>
      <c r="L488" s="64">
        <f t="shared" si="244"/>
        <v>0</v>
      </c>
      <c r="M488" s="78">
        <f t="shared" si="244"/>
        <v>0</v>
      </c>
      <c r="N488" s="64">
        <f t="shared" si="244"/>
        <v>0</v>
      </c>
      <c r="O488" s="191">
        <f t="shared" si="244"/>
        <v>0</v>
      </c>
      <c r="P488" s="64">
        <f t="shared" si="244"/>
        <v>0</v>
      </c>
      <c r="Q488" s="64">
        <f t="shared" si="244"/>
        <v>0</v>
      </c>
      <c r="R488" s="64">
        <f t="shared" si="244"/>
        <v>0</v>
      </c>
      <c r="S488" s="64">
        <f t="shared" si="244"/>
        <v>0</v>
      </c>
      <c r="T488" s="64">
        <f t="shared" si="244"/>
        <v>0</v>
      </c>
    </row>
    <row r="489" spans="1:20" s="25" customFormat="1" ht="25.5" hidden="1">
      <c r="A489" s="17"/>
      <c r="B489" s="5"/>
      <c r="C489" s="66"/>
      <c r="D489" s="41" t="s">
        <v>11</v>
      </c>
      <c r="E489" s="67" t="s">
        <v>12</v>
      </c>
      <c r="F489" s="93"/>
      <c r="G489" s="133">
        <f>F489+SUM(H489:T489)</f>
        <v>0</v>
      </c>
      <c r="H489" s="64"/>
      <c r="I489" s="64"/>
      <c r="J489" s="65"/>
      <c r="K489" s="65"/>
      <c r="L489" s="64"/>
      <c r="M489" s="78"/>
      <c r="N489" s="64"/>
      <c r="O489" s="191"/>
      <c r="P489" s="64"/>
      <c r="Q489" s="64"/>
      <c r="R489" s="64"/>
      <c r="S489" s="64"/>
      <c r="T489" s="64"/>
    </row>
    <row r="490" spans="1:20" s="25" customFormat="1" ht="70.5" customHeight="1">
      <c r="A490" s="17"/>
      <c r="B490" s="17"/>
      <c r="C490" s="63" t="s">
        <v>273</v>
      </c>
      <c r="D490" s="11"/>
      <c r="E490" s="60" t="s">
        <v>123</v>
      </c>
      <c r="F490" s="95">
        <f>F491+F504+F508</f>
        <v>23548.1</v>
      </c>
      <c r="G490" s="95">
        <f aca="true" t="shared" si="245" ref="G490:T490">G491+G504+G508</f>
        <v>25185.885</v>
      </c>
      <c r="H490" s="95">
        <f t="shared" si="245"/>
        <v>0</v>
      </c>
      <c r="I490" s="95">
        <f t="shared" si="245"/>
        <v>395</v>
      </c>
      <c r="J490" s="95">
        <f t="shared" si="245"/>
        <v>0</v>
      </c>
      <c r="K490" s="95">
        <f t="shared" si="245"/>
        <v>0</v>
      </c>
      <c r="L490" s="95">
        <f t="shared" si="245"/>
        <v>0</v>
      </c>
      <c r="M490" s="131">
        <f t="shared" si="245"/>
        <v>34</v>
      </c>
      <c r="N490" s="95">
        <f t="shared" si="245"/>
        <v>300</v>
      </c>
      <c r="O490" s="184">
        <f t="shared" si="245"/>
        <v>0</v>
      </c>
      <c r="P490" s="95">
        <f t="shared" si="245"/>
        <v>3.7849999999999966</v>
      </c>
      <c r="Q490" s="95">
        <f t="shared" si="245"/>
        <v>45</v>
      </c>
      <c r="R490" s="95">
        <f>R491+R504+R508</f>
        <v>300</v>
      </c>
      <c r="S490" s="95">
        <f>S491+S504+S508</f>
        <v>560</v>
      </c>
      <c r="T490" s="95">
        <f t="shared" si="245"/>
        <v>0</v>
      </c>
    </row>
    <row r="491" spans="1:20" s="25" customFormat="1" ht="12.75">
      <c r="A491" s="17"/>
      <c r="B491" s="17"/>
      <c r="C491" s="82" t="s">
        <v>274</v>
      </c>
      <c r="D491" s="41"/>
      <c r="E491" s="61" t="s">
        <v>124</v>
      </c>
      <c r="F491" s="79">
        <f>F492+F495+F498+F501</f>
        <v>23258.1</v>
      </c>
      <c r="G491" s="79">
        <f aca="true" t="shared" si="246" ref="G491:T491">G492+G495+G498+G501</f>
        <v>24732.1</v>
      </c>
      <c r="H491" s="68">
        <f t="shared" si="246"/>
        <v>0</v>
      </c>
      <c r="I491" s="68">
        <f t="shared" si="246"/>
        <v>395</v>
      </c>
      <c r="J491" s="68">
        <f t="shared" si="246"/>
        <v>0</v>
      </c>
      <c r="K491" s="68">
        <f t="shared" si="246"/>
        <v>0</v>
      </c>
      <c r="L491" s="68">
        <f t="shared" si="246"/>
        <v>0</v>
      </c>
      <c r="M491" s="70">
        <f t="shared" si="246"/>
        <v>34</v>
      </c>
      <c r="N491" s="68">
        <f t="shared" si="246"/>
        <v>300</v>
      </c>
      <c r="O491" s="51">
        <f t="shared" si="246"/>
        <v>0</v>
      </c>
      <c r="P491" s="68">
        <f t="shared" si="246"/>
        <v>0</v>
      </c>
      <c r="Q491" s="68">
        <f t="shared" si="246"/>
        <v>45</v>
      </c>
      <c r="R491" s="68">
        <f>R492+R495+R498+R501</f>
        <v>300</v>
      </c>
      <c r="S491" s="68">
        <f>S492+S495+S498+S501</f>
        <v>400</v>
      </c>
      <c r="T491" s="68">
        <f t="shared" si="246"/>
        <v>0</v>
      </c>
    </row>
    <row r="492" spans="1:20" s="25" customFormat="1" ht="38.25" hidden="1">
      <c r="A492" s="17"/>
      <c r="B492" s="17"/>
      <c r="C492" s="66" t="s">
        <v>275</v>
      </c>
      <c r="D492" s="41"/>
      <c r="E492" s="57" t="s">
        <v>277</v>
      </c>
      <c r="F492" s="79">
        <f>F493</f>
        <v>10124.6</v>
      </c>
      <c r="G492" s="79">
        <f>G493</f>
        <v>10469.6</v>
      </c>
      <c r="H492" s="68">
        <f aca="true" t="shared" si="247" ref="G492:T493">H493</f>
        <v>0</v>
      </c>
      <c r="I492" s="68">
        <f t="shared" si="247"/>
        <v>0</v>
      </c>
      <c r="J492" s="68">
        <f t="shared" si="247"/>
        <v>0</v>
      </c>
      <c r="K492" s="68">
        <f t="shared" si="247"/>
        <v>0</v>
      </c>
      <c r="L492" s="68">
        <f t="shared" si="247"/>
        <v>0</v>
      </c>
      <c r="M492" s="70">
        <f t="shared" si="247"/>
        <v>0</v>
      </c>
      <c r="N492" s="68">
        <f t="shared" si="247"/>
        <v>0</v>
      </c>
      <c r="O492" s="51">
        <f t="shared" si="247"/>
        <v>0</v>
      </c>
      <c r="P492" s="68">
        <f t="shared" si="247"/>
        <v>0</v>
      </c>
      <c r="Q492" s="68">
        <f t="shared" si="247"/>
        <v>45</v>
      </c>
      <c r="R492" s="68">
        <f t="shared" si="247"/>
        <v>300</v>
      </c>
      <c r="S492" s="68">
        <f t="shared" si="247"/>
        <v>0</v>
      </c>
      <c r="T492" s="68">
        <f t="shared" si="247"/>
        <v>0</v>
      </c>
    </row>
    <row r="493" spans="1:20" s="25" customFormat="1" ht="25.5" hidden="1">
      <c r="A493" s="17"/>
      <c r="B493" s="17"/>
      <c r="C493" s="66" t="s">
        <v>276</v>
      </c>
      <c r="D493" s="41"/>
      <c r="E493" s="57" t="s">
        <v>278</v>
      </c>
      <c r="F493" s="79">
        <f>F494</f>
        <v>10124.6</v>
      </c>
      <c r="G493" s="79">
        <f t="shared" si="247"/>
        <v>10469.6</v>
      </c>
      <c r="H493" s="68">
        <f t="shared" si="247"/>
        <v>0</v>
      </c>
      <c r="I493" s="68">
        <f t="shared" si="247"/>
        <v>0</v>
      </c>
      <c r="J493" s="68">
        <f t="shared" si="247"/>
        <v>0</v>
      </c>
      <c r="K493" s="68">
        <f t="shared" si="247"/>
        <v>0</v>
      </c>
      <c r="L493" s="68">
        <f t="shared" si="247"/>
        <v>0</v>
      </c>
      <c r="M493" s="70">
        <f t="shared" si="247"/>
        <v>0</v>
      </c>
      <c r="N493" s="68">
        <f t="shared" si="247"/>
        <v>0</v>
      </c>
      <c r="O493" s="51">
        <f t="shared" si="247"/>
        <v>0</v>
      </c>
      <c r="P493" s="68">
        <f t="shared" si="247"/>
        <v>0</v>
      </c>
      <c r="Q493" s="68">
        <f t="shared" si="247"/>
        <v>45</v>
      </c>
      <c r="R493" s="68">
        <f t="shared" si="247"/>
        <v>300</v>
      </c>
      <c r="S493" s="68">
        <f t="shared" si="247"/>
        <v>0</v>
      </c>
      <c r="T493" s="68">
        <f t="shared" si="247"/>
        <v>0</v>
      </c>
    </row>
    <row r="494" spans="1:20" s="25" customFormat="1" ht="25.5" hidden="1">
      <c r="A494" s="17"/>
      <c r="B494" s="17"/>
      <c r="C494" s="66"/>
      <c r="D494" s="41" t="s">
        <v>11</v>
      </c>
      <c r="E494" s="67" t="s">
        <v>12</v>
      </c>
      <c r="F494" s="79">
        <v>10124.6</v>
      </c>
      <c r="G494" s="93">
        <f>F494+SUM(H494:T494)</f>
        <v>10469.6</v>
      </c>
      <c r="H494" s="68"/>
      <c r="I494" s="68"/>
      <c r="J494" s="69"/>
      <c r="K494" s="69"/>
      <c r="L494" s="68"/>
      <c r="M494" s="70"/>
      <c r="N494" s="68">
        <f>-13.9876+13.9876</f>
        <v>0</v>
      </c>
      <c r="O494" s="51"/>
      <c r="P494" s="68"/>
      <c r="Q494" s="68">
        <v>45</v>
      </c>
      <c r="R494" s="68">
        <v>300</v>
      </c>
      <c r="S494" s="68">
        <f>-13.9876+13.9876</f>
        <v>0</v>
      </c>
      <c r="T494" s="68"/>
    </row>
    <row r="495" spans="1:20" s="25" customFormat="1" ht="38.25" hidden="1">
      <c r="A495" s="17"/>
      <c r="B495" s="17"/>
      <c r="C495" s="66" t="s">
        <v>279</v>
      </c>
      <c r="D495" s="41"/>
      <c r="E495" s="67" t="s">
        <v>281</v>
      </c>
      <c r="F495" s="79">
        <f>F496</f>
        <v>6519.9</v>
      </c>
      <c r="G495" s="79">
        <f aca="true" t="shared" si="248" ref="G495:T496">G496</f>
        <v>6519.9</v>
      </c>
      <c r="H495" s="68">
        <f t="shared" si="248"/>
        <v>0</v>
      </c>
      <c r="I495" s="68">
        <f t="shared" si="248"/>
        <v>0</v>
      </c>
      <c r="J495" s="68">
        <f t="shared" si="248"/>
        <v>0</v>
      </c>
      <c r="K495" s="68">
        <f t="shared" si="248"/>
        <v>0</v>
      </c>
      <c r="L495" s="68">
        <f t="shared" si="248"/>
        <v>0</v>
      </c>
      <c r="M495" s="70">
        <f t="shared" si="248"/>
        <v>0</v>
      </c>
      <c r="N495" s="68">
        <f t="shared" si="248"/>
        <v>0</v>
      </c>
      <c r="O495" s="51">
        <f t="shared" si="248"/>
        <v>0</v>
      </c>
      <c r="P495" s="68">
        <f t="shared" si="248"/>
        <v>0</v>
      </c>
      <c r="Q495" s="68">
        <f t="shared" si="248"/>
        <v>0</v>
      </c>
      <c r="R495" s="68">
        <f t="shared" si="248"/>
        <v>0</v>
      </c>
      <c r="S495" s="68">
        <f t="shared" si="248"/>
        <v>0</v>
      </c>
      <c r="T495" s="68">
        <f t="shared" si="248"/>
        <v>0</v>
      </c>
    </row>
    <row r="496" spans="1:20" s="25" customFormat="1" ht="25.5" hidden="1">
      <c r="A496" s="17"/>
      <c r="B496" s="17"/>
      <c r="C496" s="41" t="s">
        <v>280</v>
      </c>
      <c r="D496" s="41"/>
      <c r="E496" s="57" t="s">
        <v>278</v>
      </c>
      <c r="F496" s="79">
        <f>F497</f>
        <v>6519.9</v>
      </c>
      <c r="G496" s="79">
        <f t="shared" si="248"/>
        <v>6519.9</v>
      </c>
      <c r="H496" s="68">
        <f t="shared" si="248"/>
        <v>0</v>
      </c>
      <c r="I496" s="68">
        <f t="shared" si="248"/>
        <v>0</v>
      </c>
      <c r="J496" s="68">
        <f t="shared" si="248"/>
        <v>0</v>
      </c>
      <c r="K496" s="68">
        <f t="shared" si="248"/>
        <v>0</v>
      </c>
      <c r="L496" s="68">
        <f t="shared" si="248"/>
        <v>0</v>
      </c>
      <c r="M496" s="70">
        <f t="shared" si="248"/>
        <v>0</v>
      </c>
      <c r="N496" s="68">
        <f t="shared" si="248"/>
        <v>0</v>
      </c>
      <c r="O496" s="51">
        <f t="shared" si="248"/>
        <v>0</v>
      </c>
      <c r="P496" s="68">
        <f t="shared" si="248"/>
        <v>0</v>
      </c>
      <c r="Q496" s="68">
        <f t="shared" si="248"/>
        <v>0</v>
      </c>
      <c r="R496" s="68">
        <f t="shared" si="248"/>
        <v>0</v>
      </c>
      <c r="S496" s="68">
        <f t="shared" si="248"/>
        <v>0</v>
      </c>
      <c r="T496" s="68">
        <f t="shared" si="248"/>
        <v>0</v>
      </c>
    </row>
    <row r="497" spans="1:20" s="25" customFormat="1" ht="25.5" hidden="1">
      <c r="A497" s="17"/>
      <c r="B497" s="17"/>
      <c r="C497" s="66"/>
      <c r="D497" s="41" t="s">
        <v>11</v>
      </c>
      <c r="E497" s="67" t="s">
        <v>12</v>
      </c>
      <c r="F497" s="79">
        <f>4697.2+3822.7-2000</f>
        <v>6519.9</v>
      </c>
      <c r="G497" s="93">
        <f>F497+SUM(H497:T497)</f>
        <v>6519.9</v>
      </c>
      <c r="H497" s="68"/>
      <c r="I497" s="68"/>
      <c r="J497" s="69"/>
      <c r="K497" s="69"/>
      <c r="L497" s="68"/>
      <c r="M497" s="70"/>
      <c r="N497" s="68"/>
      <c r="O497" s="51"/>
      <c r="P497" s="68"/>
      <c r="Q497" s="68"/>
      <c r="R497" s="68"/>
      <c r="S497" s="68"/>
      <c r="T497" s="68"/>
    </row>
    <row r="498" spans="1:20" s="25" customFormat="1" ht="38.25" hidden="1">
      <c r="A498" s="17"/>
      <c r="B498" s="17"/>
      <c r="C498" s="66" t="s">
        <v>282</v>
      </c>
      <c r="D498" s="41"/>
      <c r="E498" s="57" t="s">
        <v>284</v>
      </c>
      <c r="F498" s="79">
        <f>F499</f>
        <v>6074</v>
      </c>
      <c r="G498" s="79">
        <f aca="true" t="shared" si="249" ref="G498:T499">G499</f>
        <v>6074</v>
      </c>
      <c r="H498" s="68">
        <f t="shared" si="249"/>
        <v>0</v>
      </c>
      <c r="I498" s="68">
        <f t="shared" si="249"/>
        <v>0</v>
      </c>
      <c r="J498" s="68">
        <f t="shared" si="249"/>
        <v>0</v>
      </c>
      <c r="K498" s="68">
        <f t="shared" si="249"/>
        <v>0</v>
      </c>
      <c r="L498" s="68">
        <f t="shared" si="249"/>
        <v>0</v>
      </c>
      <c r="M498" s="70">
        <f t="shared" si="249"/>
        <v>0</v>
      </c>
      <c r="N498" s="68">
        <f t="shared" si="249"/>
        <v>0</v>
      </c>
      <c r="O498" s="51">
        <f t="shared" si="249"/>
        <v>0</v>
      </c>
      <c r="P498" s="68">
        <f t="shared" si="249"/>
        <v>0</v>
      </c>
      <c r="Q498" s="68">
        <f t="shared" si="249"/>
        <v>0</v>
      </c>
      <c r="R498" s="68">
        <f t="shared" si="249"/>
        <v>0</v>
      </c>
      <c r="S498" s="68">
        <f t="shared" si="249"/>
        <v>0</v>
      </c>
      <c r="T498" s="68">
        <f t="shared" si="249"/>
        <v>0</v>
      </c>
    </row>
    <row r="499" spans="1:20" s="25" customFormat="1" ht="25.5" hidden="1">
      <c r="A499" s="17"/>
      <c r="B499" s="17"/>
      <c r="C499" s="66" t="s">
        <v>283</v>
      </c>
      <c r="D499" s="41"/>
      <c r="E499" s="57" t="s">
        <v>278</v>
      </c>
      <c r="F499" s="79">
        <f>F500</f>
        <v>6074</v>
      </c>
      <c r="G499" s="79">
        <f t="shared" si="249"/>
        <v>6074</v>
      </c>
      <c r="H499" s="68">
        <f t="shared" si="249"/>
        <v>0</v>
      </c>
      <c r="I499" s="68">
        <f t="shared" si="249"/>
        <v>0</v>
      </c>
      <c r="J499" s="68">
        <f t="shared" si="249"/>
        <v>0</v>
      </c>
      <c r="K499" s="68">
        <f t="shared" si="249"/>
        <v>0</v>
      </c>
      <c r="L499" s="68">
        <f t="shared" si="249"/>
        <v>0</v>
      </c>
      <c r="M499" s="70">
        <f t="shared" si="249"/>
        <v>0</v>
      </c>
      <c r="N499" s="68">
        <f t="shared" si="249"/>
        <v>0</v>
      </c>
      <c r="O499" s="51">
        <f t="shared" si="249"/>
        <v>0</v>
      </c>
      <c r="P499" s="68">
        <f t="shared" si="249"/>
        <v>0</v>
      </c>
      <c r="Q499" s="68">
        <f t="shared" si="249"/>
        <v>0</v>
      </c>
      <c r="R499" s="68">
        <f t="shared" si="249"/>
        <v>0</v>
      </c>
      <c r="S499" s="68">
        <f t="shared" si="249"/>
        <v>0</v>
      </c>
      <c r="T499" s="68">
        <f t="shared" si="249"/>
        <v>0</v>
      </c>
    </row>
    <row r="500" spans="1:20" s="25" customFormat="1" ht="25.5" hidden="1">
      <c r="A500" s="17"/>
      <c r="B500" s="17"/>
      <c r="C500" s="66"/>
      <c r="D500" s="41" t="s">
        <v>11</v>
      </c>
      <c r="E500" s="67" t="s">
        <v>12</v>
      </c>
      <c r="F500" s="79">
        <v>6074</v>
      </c>
      <c r="G500" s="93">
        <f>F500+SUM(H500:T500)</f>
        <v>6074</v>
      </c>
      <c r="H500" s="68"/>
      <c r="I500" s="68"/>
      <c r="J500" s="69"/>
      <c r="K500" s="69"/>
      <c r="L500" s="68"/>
      <c r="M500" s="70"/>
      <c r="N500" s="68"/>
      <c r="O500" s="51"/>
      <c r="P500" s="68"/>
      <c r="Q500" s="68"/>
      <c r="R500" s="68"/>
      <c r="S500" s="68"/>
      <c r="T500" s="68"/>
    </row>
    <row r="501" spans="1:20" s="25" customFormat="1" ht="24">
      <c r="A501" s="17"/>
      <c r="B501" s="17"/>
      <c r="C501" s="66" t="s">
        <v>285</v>
      </c>
      <c r="D501" s="41"/>
      <c r="E501" s="22" t="s">
        <v>287</v>
      </c>
      <c r="F501" s="79">
        <f>F502</f>
        <v>539.6</v>
      </c>
      <c r="G501" s="79">
        <f aca="true" t="shared" si="250" ref="G501:T502">G502</f>
        <v>1668.6</v>
      </c>
      <c r="H501" s="68">
        <f t="shared" si="250"/>
        <v>0</v>
      </c>
      <c r="I501" s="68">
        <f t="shared" si="250"/>
        <v>395</v>
      </c>
      <c r="J501" s="68">
        <f t="shared" si="250"/>
        <v>0</v>
      </c>
      <c r="K501" s="68">
        <f t="shared" si="250"/>
        <v>0</v>
      </c>
      <c r="L501" s="68">
        <f t="shared" si="250"/>
        <v>0</v>
      </c>
      <c r="M501" s="70">
        <f t="shared" si="250"/>
        <v>34</v>
      </c>
      <c r="N501" s="68">
        <f t="shared" si="250"/>
        <v>300</v>
      </c>
      <c r="O501" s="51">
        <f t="shared" si="250"/>
        <v>0</v>
      </c>
      <c r="P501" s="68">
        <f t="shared" si="250"/>
        <v>0</v>
      </c>
      <c r="Q501" s="68">
        <f t="shared" si="250"/>
        <v>0</v>
      </c>
      <c r="R501" s="68">
        <f t="shared" si="250"/>
        <v>0</v>
      </c>
      <c r="S501" s="68">
        <f t="shared" si="250"/>
        <v>400</v>
      </c>
      <c r="T501" s="68">
        <f t="shared" si="250"/>
        <v>0</v>
      </c>
    </row>
    <row r="502" spans="1:20" s="25" customFormat="1" ht="18.75" customHeight="1">
      <c r="A502" s="17"/>
      <c r="B502" s="17"/>
      <c r="C502" s="66" t="s">
        <v>286</v>
      </c>
      <c r="D502" s="41"/>
      <c r="E502" s="75" t="s">
        <v>288</v>
      </c>
      <c r="F502" s="79">
        <f>F503</f>
        <v>539.6</v>
      </c>
      <c r="G502" s="79">
        <f t="shared" si="250"/>
        <v>1668.6</v>
      </c>
      <c r="H502" s="68">
        <f t="shared" si="250"/>
        <v>0</v>
      </c>
      <c r="I502" s="68">
        <f t="shared" si="250"/>
        <v>395</v>
      </c>
      <c r="J502" s="68">
        <f t="shared" si="250"/>
        <v>0</v>
      </c>
      <c r="K502" s="68">
        <f t="shared" si="250"/>
        <v>0</v>
      </c>
      <c r="L502" s="68">
        <f t="shared" si="250"/>
        <v>0</v>
      </c>
      <c r="M502" s="70">
        <f t="shared" si="250"/>
        <v>34</v>
      </c>
      <c r="N502" s="68">
        <f t="shared" si="250"/>
        <v>300</v>
      </c>
      <c r="O502" s="51">
        <f t="shared" si="250"/>
        <v>0</v>
      </c>
      <c r="P502" s="68">
        <f t="shared" si="250"/>
        <v>0</v>
      </c>
      <c r="Q502" s="68">
        <f t="shared" si="250"/>
        <v>0</v>
      </c>
      <c r="R502" s="68">
        <f t="shared" si="250"/>
        <v>0</v>
      </c>
      <c r="S502" s="68">
        <f t="shared" si="250"/>
        <v>400</v>
      </c>
      <c r="T502" s="68">
        <f t="shared" si="250"/>
        <v>0</v>
      </c>
    </row>
    <row r="503" spans="1:20" s="25" customFormat="1" ht="25.5">
      <c r="A503" s="17"/>
      <c r="B503" s="17"/>
      <c r="C503" s="66"/>
      <c r="D503" s="41" t="s">
        <v>3</v>
      </c>
      <c r="E503" s="67" t="s">
        <v>95</v>
      </c>
      <c r="F503" s="79">
        <v>539.6</v>
      </c>
      <c r="G503" s="93">
        <f>F503+SUM(H503:T503)</f>
        <v>1668.6</v>
      </c>
      <c r="H503" s="68"/>
      <c r="I503" s="68">
        <v>395</v>
      </c>
      <c r="J503" s="69"/>
      <c r="K503" s="69"/>
      <c r="L503" s="68"/>
      <c r="M503" s="70">
        <f>34</f>
        <v>34</v>
      </c>
      <c r="N503" s="68">
        <v>300</v>
      </c>
      <c r="O503" s="51"/>
      <c r="P503" s="68"/>
      <c r="Q503" s="68"/>
      <c r="R503" s="68"/>
      <c r="S503" s="68">
        <v>400</v>
      </c>
      <c r="T503" s="68"/>
    </row>
    <row r="504" spans="1:20" s="25" customFormat="1" ht="25.5">
      <c r="A504" s="17"/>
      <c r="B504" s="17"/>
      <c r="C504" s="82" t="s">
        <v>311</v>
      </c>
      <c r="D504" s="41"/>
      <c r="E504" s="61" t="s">
        <v>127</v>
      </c>
      <c r="F504" s="79">
        <f>F505</f>
        <v>100</v>
      </c>
      <c r="G504" s="79">
        <f aca="true" t="shared" si="251" ref="G504:T506">G505</f>
        <v>323.78499999999997</v>
      </c>
      <c r="H504" s="68">
        <f t="shared" si="251"/>
        <v>0</v>
      </c>
      <c r="I504" s="68">
        <f t="shared" si="251"/>
        <v>0</v>
      </c>
      <c r="J504" s="68">
        <f t="shared" si="251"/>
        <v>0</v>
      </c>
      <c r="K504" s="68">
        <f t="shared" si="251"/>
        <v>0</v>
      </c>
      <c r="L504" s="68">
        <f t="shared" si="251"/>
        <v>0</v>
      </c>
      <c r="M504" s="70">
        <f t="shared" si="251"/>
        <v>0</v>
      </c>
      <c r="N504" s="68">
        <f t="shared" si="251"/>
        <v>0</v>
      </c>
      <c r="O504" s="51">
        <f t="shared" si="251"/>
        <v>0</v>
      </c>
      <c r="P504" s="68">
        <f t="shared" si="251"/>
        <v>63.785</v>
      </c>
      <c r="Q504" s="68">
        <f t="shared" si="251"/>
        <v>0</v>
      </c>
      <c r="R504" s="68">
        <f t="shared" si="251"/>
        <v>0</v>
      </c>
      <c r="S504" s="68">
        <f t="shared" si="251"/>
        <v>160</v>
      </c>
      <c r="T504" s="68">
        <f t="shared" si="251"/>
        <v>0</v>
      </c>
    </row>
    <row r="505" spans="1:20" s="25" customFormat="1" ht="25.5">
      <c r="A505" s="17"/>
      <c r="B505" s="17"/>
      <c r="C505" s="66" t="s">
        <v>312</v>
      </c>
      <c r="D505" s="41"/>
      <c r="E505" s="57" t="s">
        <v>314</v>
      </c>
      <c r="F505" s="79">
        <f>F506</f>
        <v>100</v>
      </c>
      <c r="G505" s="79">
        <f t="shared" si="251"/>
        <v>323.78499999999997</v>
      </c>
      <c r="H505" s="68">
        <f t="shared" si="251"/>
        <v>0</v>
      </c>
      <c r="I505" s="68">
        <f t="shared" si="251"/>
        <v>0</v>
      </c>
      <c r="J505" s="68">
        <f t="shared" si="251"/>
        <v>0</v>
      </c>
      <c r="K505" s="68">
        <f t="shared" si="251"/>
        <v>0</v>
      </c>
      <c r="L505" s="68">
        <f t="shared" si="251"/>
        <v>0</v>
      </c>
      <c r="M505" s="70">
        <f t="shared" si="251"/>
        <v>0</v>
      </c>
      <c r="N505" s="68">
        <f t="shared" si="251"/>
        <v>0</v>
      </c>
      <c r="O505" s="51">
        <f t="shared" si="251"/>
        <v>0</v>
      </c>
      <c r="P505" s="68">
        <f t="shared" si="251"/>
        <v>63.785</v>
      </c>
      <c r="Q505" s="68">
        <f t="shared" si="251"/>
        <v>0</v>
      </c>
      <c r="R505" s="68">
        <f t="shared" si="251"/>
        <v>0</v>
      </c>
      <c r="S505" s="68">
        <f t="shared" si="251"/>
        <v>160</v>
      </c>
      <c r="T505" s="68">
        <f t="shared" si="251"/>
        <v>0</v>
      </c>
    </row>
    <row r="506" spans="1:20" s="25" customFormat="1" ht="51">
      <c r="A506" s="17"/>
      <c r="B506" s="17"/>
      <c r="C506" s="66" t="s">
        <v>313</v>
      </c>
      <c r="D506" s="41"/>
      <c r="E506" s="57" t="s">
        <v>315</v>
      </c>
      <c r="F506" s="79">
        <f>F507</f>
        <v>100</v>
      </c>
      <c r="G506" s="79">
        <f t="shared" si="251"/>
        <v>323.78499999999997</v>
      </c>
      <c r="H506" s="68">
        <f t="shared" si="251"/>
        <v>0</v>
      </c>
      <c r="I506" s="68">
        <f t="shared" si="251"/>
        <v>0</v>
      </c>
      <c r="J506" s="68">
        <f t="shared" si="251"/>
        <v>0</v>
      </c>
      <c r="K506" s="68">
        <f t="shared" si="251"/>
        <v>0</v>
      </c>
      <c r="L506" s="68">
        <f t="shared" si="251"/>
        <v>0</v>
      </c>
      <c r="M506" s="70">
        <f t="shared" si="251"/>
        <v>0</v>
      </c>
      <c r="N506" s="68">
        <f t="shared" si="251"/>
        <v>0</v>
      </c>
      <c r="O506" s="51">
        <f t="shared" si="251"/>
        <v>0</v>
      </c>
      <c r="P506" s="68">
        <f t="shared" si="251"/>
        <v>63.785</v>
      </c>
      <c r="Q506" s="68">
        <f t="shared" si="251"/>
        <v>0</v>
      </c>
      <c r="R506" s="68">
        <f t="shared" si="251"/>
        <v>0</v>
      </c>
      <c r="S506" s="68">
        <f t="shared" si="251"/>
        <v>160</v>
      </c>
      <c r="T506" s="68">
        <f t="shared" si="251"/>
        <v>0</v>
      </c>
    </row>
    <row r="507" spans="1:20" s="25" customFormat="1" ht="25.5">
      <c r="A507" s="17"/>
      <c r="B507" s="17"/>
      <c r="C507" s="66"/>
      <c r="D507" s="41" t="s">
        <v>11</v>
      </c>
      <c r="E507" s="67" t="s">
        <v>12</v>
      </c>
      <c r="F507" s="79">
        <v>100</v>
      </c>
      <c r="G507" s="93">
        <f>F507+SUM(H507:T507)</f>
        <v>323.78499999999997</v>
      </c>
      <c r="H507" s="68"/>
      <c r="I507" s="68"/>
      <c r="J507" s="69"/>
      <c r="K507" s="69"/>
      <c r="L507" s="68"/>
      <c r="M507" s="70"/>
      <c r="N507" s="68"/>
      <c r="O507" s="51"/>
      <c r="P507" s="68">
        <v>63.785</v>
      </c>
      <c r="Q507" s="68"/>
      <c r="R507" s="68"/>
      <c r="S507" s="68">
        <v>160</v>
      </c>
      <c r="T507" s="68"/>
    </row>
    <row r="508" spans="1:20" s="25" customFormat="1" ht="51" hidden="1">
      <c r="A508" s="17"/>
      <c r="B508" s="17"/>
      <c r="C508" s="82" t="s">
        <v>509</v>
      </c>
      <c r="D508" s="99"/>
      <c r="E508" s="103" t="s">
        <v>512</v>
      </c>
      <c r="F508" s="79">
        <f>F509</f>
        <v>190</v>
      </c>
      <c r="G508" s="79">
        <f aca="true" t="shared" si="252" ref="G508:T510">G509</f>
        <v>130</v>
      </c>
      <c r="H508" s="79">
        <f t="shared" si="252"/>
        <v>0</v>
      </c>
      <c r="I508" s="79">
        <f t="shared" si="252"/>
        <v>0</v>
      </c>
      <c r="J508" s="79">
        <f t="shared" si="252"/>
        <v>0</v>
      </c>
      <c r="K508" s="79">
        <f t="shared" si="252"/>
        <v>0</v>
      </c>
      <c r="L508" s="79">
        <f t="shared" si="252"/>
        <v>0</v>
      </c>
      <c r="M508" s="96">
        <f t="shared" si="252"/>
        <v>0</v>
      </c>
      <c r="N508" s="79">
        <f t="shared" si="252"/>
        <v>0</v>
      </c>
      <c r="O508" s="115">
        <f t="shared" si="252"/>
        <v>0</v>
      </c>
      <c r="P508" s="79">
        <f t="shared" si="252"/>
        <v>-60</v>
      </c>
      <c r="Q508" s="79">
        <f t="shared" si="252"/>
        <v>0</v>
      </c>
      <c r="R508" s="79">
        <f t="shared" si="252"/>
        <v>0</v>
      </c>
      <c r="S508" s="79">
        <f t="shared" si="252"/>
        <v>0</v>
      </c>
      <c r="T508" s="79">
        <f t="shared" si="252"/>
        <v>0</v>
      </c>
    </row>
    <row r="509" spans="1:20" s="25" customFormat="1" ht="51" hidden="1">
      <c r="A509" s="17"/>
      <c r="B509" s="17"/>
      <c r="C509" s="66" t="s">
        <v>510</v>
      </c>
      <c r="D509" s="41"/>
      <c r="E509" s="67" t="s">
        <v>195</v>
      </c>
      <c r="F509" s="79">
        <f>F510</f>
        <v>190</v>
      </c>
      <c r="G509" s="79">
        <f t="shared" si="252"/>
        <v>130</v>
      </c>
      <c r="H509" s="79">
        <f t="shared" si="252"/>
        <v>0</v>
      </c>
      <c r="I509" s="79">
        <f t="shared" si="252"/>
        <v>0</v>
      </c>
      <c r="J509" s="79">
        <f t="shared" si="252"/>
        <v>0</v>
      </c>
      <c r="K509" s="79">
        <f t="shared" si="252"/>
        <v>0</v>
      </c>
      <c r="L509" s="79">
        <f t="shared" si="252"/>
        <v>0</v>
      </c>
      <c r="M509" s="96">
        <f t="shared" si="252"/>
        <v>0</v>
      </c>
      <c r="N509" s="79">
        <f t="shared" si="252"/>
        <v>0</v>
      </c>
      <c r="O509" s="115">
        <f t="shared" si="252"/>
        <v>0</v>
      </c>
      <c r="P509" s="79">
        <f t="shared" si="252"/>
        <v>-60</v>
      </c>
      <c r="Q509" s="79">
        <f t="shared" si="252"/>
        <v>0</v>
      </c>
      <c r="R509" s="79">
        <f t="shared" si="252"/>
        <v>0</v>
      </c>
      <c r="S509" s="79">
        <f t="shared" si="252"/>
        <v>0</v>
      </c>
      <c r="T509" s="79">
        <f t="shared" si="252"/>
        <v>0</v>
      </c>
    </row>
    <row r="510" spans="1:20" s="25" customFormat="1" ht="38.25" hidden="1">
      <c r="A510" s="17"/>
      <c r="B510" s="17"/>
      <c r="C510" s="66" t="s">
        <v>511</v>
      </c>
      <c r="D510" s="41"/>
      <c r="E510" s="67" t="s">
        <v>513</v>
      </c>
      <c r="F510" s="79">
        <f>F511</f>
        <v>190</v>
      </c>
      <c r="G510" s="79">
        <f t="shared" si="252"/>
        <v>130</v>
      </c>
      <c r="H510" s="79">
        <f t="shared" si="252"/>
        <v>0</v>
      </c>
      <c r="I510" s="79">
        <f t="shared" si="252"/>
        <v>0</v>
      </c>
      <c r="J510" s="79">
        <f t="shared" si="252"/>
        <v>0</v>
      </c>
      <c r="K510" s="79">
        <f t="shared" si="252"/>
        <v>0</v>
      </c>
      <c r="L510" s="79">
        <f t="shared" si="252"/>
        <v>0</v>
      </c>
      <c r="M510" s="96">
        <f t="shared" si="252"/>
        <v>0</v>
      </c>
      <c r="N510" s="79">
        <f t="shared" si="252"/>
        <v>0</v>
      </c>
      <c r="O510" s="115">
        <f t="shared" si="252"/>
        <v>0</v>
      </c>
      <c r="P510" s="79">
        <f t="shared" si="252"/>
        <v>-60</v>
      </c>
      <c r="Q510" s="79">
        <f t="shared" si="252"/>
        <v>0</v>
      </c>
      <c r="R510" s="79">
        <f t="shared" si="252"/>
        <v>0</v>
      </c>
      <c r="S510" s="79">
        <f t="shared" si="252"/>
        <v>0</v>
      </c>
      <c r="T510" s="79">
        <f t="shared" si="252"/>
        <v>0</v>
      </c>
    </row>
    <row r="511" spans="1:20" s="25" customFormat="1" ht="25.5" hidden="1">
      <c r="A511" s="17"/>
      <c r="B511" s="17"/>
      <c r="C511" s="66"/>
      <c r="D511" s="41" t="s">
        <v>11</v>
      </c>
      <c r="E511" s="67" t="s">
        <v>12</v>
      </c>
      <c r="F511" s="79">
        <f>50+80+60</f>
        <v>190</v>
      </c>
      <c r="G511" s="93">
        <f>F511+SUM(H511:T511)</f>
        <v>130</v>
      </c>
      <c r="H511" s="68"/>
      <c r="I511" s="68"/>
      <c r="J511" s="69"/>
      <c r="K511" s="69"/>
      <c r="L511" s="68"/>
      <c r="M511" s="70"/>
      <c r="N511" s="68"/>
      <c r="O511" s="51"/>
      <c r="P511" s="68">
        <v>-60</v>
      </c>
      <c r="Q511" s="68"/>
      <c r="R511" s="68"/>
      <c r="S511" s="68"/>
      <c r="T511" s="68"/>
    </row>
    <row r="512" spans="1:20" s="25" customFormat="1" ht="12.75">
      <c r="A512" s="17"/>
      <c r="B512" s="5" t="s">
        <v>50</v>
      </c>
      <c r="C512" s="16"/>
      <c r="D512" s="5"/>
      <c r="E512" s="13" t="s">
        <v>51</v>
      </c>
      <c r="F512" s="95">
        <f>F513</f>
        <v>0</v>
      </c>
      <c r="G512" s="95">
        <f aca="true" t="shared" si="253" ref="G512:T513">G513</f>
        <v>54</v>
      </c>
      <c r="H512" s="95">
        <f t="shared" si="253"/>
        <v>0</v>
      </c>
      <c r="I512" s="95">
        <f t="shared" si="253"/>
        <v>0</v>
      </c>
      <c r="J512" s="95">
        <f t="shared" si="253"/>
        <v>0</v>
      </c>
      <c r="K512" s="95">
        <f t="shared" si="253"/>
        <v>0</v>
      </c>
      <c r="L512" s="95">
        <f t="shared" si="253"/>
        <v>0</v>
      </c>
      <c r="M512" s="131">
        <f t="shared" si="253"/>
        <v>54</v>
      </c>
      <c r="N512" s="95">
        <f t="shared" si="253"/>
        <v>0</v>
      </c>
      <c r="O512" s="184">
        <f t="shared" si="253"/>
        <v>0</v>
      </c>
      <c r="P512" s="95">
        <f t="shared" si="253"/>
        <v>0</v>
      </c>
      <c r="Q512" s="95">
        <f t="shared" si="253"/>
        <v>0</v>
      </c>
      <c r="R512" s="95">
        <f t="shared" si="253"/>
        <v>0</v>
      </c>
      <c r="S512" s="95">
        <f t="shared" si="253"/>
        <v>0</v>
      </c>
      <c r="T512" s="95">
        <f t="shared" si="253"/>
        <v>0</v>
      </c>
    </row>
    <row r="513" spans="1:20" s="25" customFormat="1" ht="12.75">
      <c r="A513" s="17"/>
      <c r="B513" s="5" t="s">
        <v>52</v>
      </c>
      <c r="C513" s="16"/>
      <c r="D513" s="5"/>
      <c r="E513" s="13" t="s">
        <v>53</v>
      </c>
      <c r="F513" s="95">
        <f>F514</f>
        <v>0</v>
      </c>
      <c r="G513" s="95">
        <f t="shared" si="253"/>
        <v>54</v>
      </c>
      <c r="H513" s="95">
        <f t="shared" si="253"/>
        <v>0</v>
      </c>
      <c r="I513" s="95">
        <f t="shared" si="253"/>
        <v>0</v>
      </c>
      <c r="J513" s="95">
        <f t="shared" si="253"/>
        <v>0</v>
      </c>
      <c r="K513" s="95">
        <f t="shared" si="253"/>
        <v>0</v>
      </c>
      <c r="L513" s="95">
        <f t="shared" si="253"/>
        <v>0</v>
      </c>
      <c r="M513" s="131">
        <f t="shared" si="253"/>
        <v>54</v>
      </c>
      <c r="N513" s="95">
        <f t="shared" si="253"/>
        <v>0</v>
      </c>
      <c r="O513" s="184">
        <f t="shared" si="253"/>
        <v>0</v>
      </c>
      <c r="P513" s="95">
        <f t="shared" si="253"/>
        <v>0</v>
      </c>
      <c r="Q513" s="95">
        <f t="shared" si="253"/>
        <v>0</v>
      </c>
      <c r="R513" s="95">
        <f t="shared" si="253"/>
        <v>0</v>
      </c>
      <c r="S513" s="95">
        <f t="shared" si="253"/>
        <v>0</v>
      </c>
      <c r="T513" s="95">
        <f t="shared" si="253"/>
        <v>0</v>
      </c>
    </row>
    <row r="514" spans="1:20" s="25" customFormat="1" ht="12.75">
      <c r="A514" s="17"/>
      <c r="B514" s="17"/>
      <c r="C514" s="63" t="s">
        <v>432</v>
      </c>
      <c r="D514" s="11"/>
      <c r="E514" s="111" t="s">
        <v>146</v>
      </c>
      <c r="F514" s="95">
        <f>F515+F517</f>
        <v>0</v>
      </c>
      <c r="G514" s="95">
        <f aca="true" t="shared" si="254" ref="G514:T514">G515+G517</f>
        <v>54</v>
      </c>
      <c r="H514" s="95">
        <f t="shared" si="254"/>
        <v>0</v>
      </c>
      <c r="I514" s="95">
        <f t="shared" si="254"/>
        <v>0</v>
      </c>
      <c r="J514" s="95">
        <f t="shared" si="254"/>
        <v>0</v>
      </c>
      <c r="K514" s="95">
        <f t="shared" si="254"/>
        <v>0</v>
      </c>
      <c r="L514" s="95">
        <f t="shared" si="254"/>
        <v>0</v>
      </c>
      <c r="M514" s="131">
        <f t="shared" si="254"/>
        <v>54</v>
      </c>
      <c r="N514" s="95">
        <f t="shared" si="254"/>
        <v>0</v>
      </c>
      <c r="O514" s="184">
        <f t="shared" si="254"/>
        <v>0</v>
      </c>
      <c r="P514" s="95">
        <f t="shared" si="254"/>
        <v>0</v>
      </c>
      <c r="Q514" s="95">
        <f t="shared" si="254"/>
        <v>0</v>
      </c>
      <c r="R514" s="95">
        <f>R515+R517</f>
        <v>0</v>
      </c>
      <c r="S514" s="95">
        <f>S515+S517</f>
        <v>0</v>
      </c>
      <c r="T514" s="95">
        <f t="shared" si="254"/>
        <v>0</v>
      </c>
    </row>
    <row r="515" spans="1:20" s="25" customFormat="1" ht="51">
      <c r="A515" s="17"/>
      <c r="B515" s="17"/>
      <c r="C515" s="66" t="s">
        <v>461</v>
      </c>
      <c r="D515" s="41"/>
      <c r="E515" s="109" t="s">
        <v>463</v>
      </c>
      <c r="F515" s="79">
        <f>F516</f>
        <v>0</v>
      </c>
      <c r="G515" s="79">
        <f aca="true" t="shared" si="255" ref="G515:T515">G516</f>
        <v>54</v>
      </c>
      <c r="H515" s="79">
        <f t="shared" si="255"/>
        <v>0</v>
      </c>
      <c r="I515" s="79">
        <f t="shared" si="255"/>
        <v>0</v>
      </c>
      <c r="J515" s="79">
        <f t="shared" si="255"/>
        <v>0</v>
      </c>
      <c r="K515" s="79">
        <f t="shared" si="255"/>
        <v>0</v>
      </c>
      <c r="L515" s="79">
        <f t="shared" si="255"/>
        <v>0</v>
      </c>
      <c r="M515" s="96">
        <f t="shared" si="255"/>
        <v>18</v>
      </c>
      <c r="N515" s="79">
        <f t="shared" si="255"/>
        <v>0</v>
      </c>
      <c r="O515" s="115">
        <f t="shared" si="255"/>
        <v>0</v>
      </c>
      <c r="P515" s="79">
        <f t="shared" si="255"/>
        <v>0</v>
      </c>
      <c r="Q515" s="79">
        <f t="shared" si="255"/>
        <v>0</v>
      </c>
      <c r="R515" s="79">
        <f t="shared" si="255"/>
        <v>0</v>
      </c>
      <c r="S515" s="79">
        <f t="shared" si="255"/>
        <v>36</v>
      </c>
      <c r="T515" s="79">
        <f t="shared" si="255"/>
        <v>0</v>
      </c>
    </row>
    <row r="516" spans="1:20" s="25" customFormat="1" ht="25.5">
      <c r="A516" s="17"/>
      <c r="B516" s="17"/>
      <c r="C516" s="66"/>
      <c r="D516" s="41" t="s">
        <v>11</v>
      </c>
      <c r="E516" s="67" t="s">
        <v>12</v>
      </c>
      <c r="F516" s="79"/>
      <c r="G516" s="93">
        <f>F516+SUM(H516:T516)</f>
        <v>54</v>
      </c>
      <c r="H516" s="68"/>
      <c r="I516" s="68"/>
      <c r="J516" s="69"/>
      <c r="K516" s="69"/>
      <c r="L516" s="68"/>
      <c r="M516" s="70">
        <f>18</f>
        <v>18</v>
      </c>
      <c r="N516" s="68"/>
      <c r="O516" s="51"/>
      <c r="P516" s="68"/>
      <c r="Q516" s="68"/>
      <c r="R516" s="68"/>
      <c r="S516" s="68">
        <v>36</v>
      </c>
      <c r="T516" s="68"/>
    </row>
    <row r="517" spans="1:20" s="25" customFormat="1" ht="38.25">
      <c r="A517" s="17"/>
      <c r="B517" s="17"/>
      <c r="C517" s="66" t="s">
        <v>462</v>
      </c>
      <c r="D517" s="41"/>
      <c r="E517" s="109" t="s">
        <v>464</v>
      </c>
      <c r="F517" s="79">
        <f>F518</f>
        <v>0</v>
      </c>
      <c r="G517" s="79">
        <f aca="true" t="shared" si="256" ref="G517:T517">G518</f>
        <v>0</v>
      </c>
      <c r="H517" s="79">
        <f t="shared" si="256"/>
        <v>0</v>
      </c>
      <c r="I517" s="79">
        <f t="shared" si="256"/>
        <v>0</v>
      </c>
      <c r="J517" s="79">
        <f t="shared" si="256"/>
        <v>0</v>
      </c>
      <c r="K517" s="79">
        <f t="shared" si="256"/>
        <v>0</v>
      </c>
      <c r="L517" s="79">
        <f t="shared" si="256"/>
        <v>0</v>
      </c>
      <c r="M517" s="96">
        <f t="shared" si="256"/>
        <v>36</v>
      </c>
      <c r="N517" s="79">
        <f t="shared" si="256"/>
        <v>0</v>
      </c>
      <c r="O517" s="115">
        <f t="shared" si="256"/>
        <v>0</v>
      </c>
      <c r="P517" s="79">
        <f t="shared" si="256"/>
        <v>0</v>
      </c>
      <c r="Q517" s="79">
        <f t="shared" si="256"/>
        <v>0</v>
      </c>
      <c r="R517" s="79">
        <f t="shared" si="256"/>
        <v>0</v>
      </c>
      <c r="S517" s="79">
        <f t="shared" si="256"/>
        <v>-36</v>
      </c>
      <c r="T517" s="79">
        <f t="shared" si="256"/>
        <v>0</v>
      </c>
    </row>
    <row r="518" spans="1:20" s="25" customFormat="1" ht="25.5">
      <c r="A518" s="17"/>
      <c r="B518" s="17"/>
      <c r="C518" s="66"/>
      <c r="D518" s="41" t="s">
        <v>11</v>
      </c>
      <c r="E518" s="109" t="s">
        <v>12</v>
      </c>
      <c r="F518" s="79"/>
      <c r="G518" s="93">
        <f>F518+SUM(H518:T518)</f>
        <v>0</v>
      </c>
      <c r="H518" s="68"/>
      <c r="I518" s="68"/>
      <c r="J518" s="69"/>
      <c r="K518" s="69"/>
      <c r="L518" s="68"/>
      <c r="M518" s="70">
        <f>36</f>
        <v>36</v>
      </c>
      <c r="N518" s="68"/>
      <c r="O518" s="51"/>
      <c r="P518" s="68"/>
      <c r="Q518" s="68"/>
      <c r="R518" s="68"/>
      <c r="S518" s="68">
        <v>-36</v>
      </c>
      <c r="T518" s="68"/>
    </row>
    <row r="519" spans="1:20" s="25" customFormat="1" ht="18.75" customHeight="1" hidden="1">
      <c r="A519" s="17"/>
      <c r="B519" s="5" t="s">
        <v>62</v>
      </c>
      <c r="C519" s="16"/>
      <c r="D519" s="5"/>
      <c r="E519" s="13" t="s">
        <v>86</v>
      </c>
      <c r="F519" s="119">
        <f>F520+F534</f>
        <v>17368.899999999998</v>
      </c>
      <c r="G519" s="119">
        <f aca="true" t="shared" si="257" ref="G519:T519">G520+G534</f>
        <v>18644.999999999996</v>
      </c>
      <c r="H519" s="26">
        <f t="shared" si="257"/>
        <v>0</v>
      </c>
      <c r="I519" s="26">
        <f t="shared" si="257"/>
        <v>0</v>
      </c>
      <c r="J519" s="26">
        <f t="shared" si="257"/>
        <v>1116.1</v>
      </c>
      <c r="K519" s="26">
        <f t="shared" si="257"/>
        <v>0</v>
      </c>
      <c r="L519" s="26">
        <f t="shared" si="257"/>
        <v>0</v>
      </c>
      <c r="M519" s="158">
        <f t="shared" si="257"/>
        <v>0</v>
      </c>
      <c r="N519" s="26">
        <f t="shared" si="257"/>
        <v>0</v>
      </c>
      <c r="O519" s="189">
        <f t="shared" si="257"/>
        <v>0</v>
      </c>
      <c r="P519" s="26">
        <f t="shared" si="257"/>
        <v>0</v>
      </c>
      <c r="Q519" s="26">
        <f t="shared" si="257"/>
        <v>160</v>
      </c>
      <c r="R519" s="26">
        <f>R520+R534</f>
        <v>0</v>
      </c>
      <c r="S519" s="26">
        <f>S520+S534</f>
        <v>0</v>
      </c>
      <c r="T519" s="26">
        <f t="shared" si="257"/>
        <v>0</v>
      </c>
    </row>
    <row r="520" spans="1:20" s="25" customFormat="1" ht="16.5" customHeight="1" hidden="1">
      <c r="A520" s="17"/>
      <c r="B520" s="5" t="s">
        <v>87</v>
      </c>
      <c r="C520" s="16"/>
      <c r="D520" s="5"/>
      <c r="E520" s="13" t="s">
        <v>88</v>
      </c>
      <c r="F520" s="119">
        <f>F521+F525</f>
        <v>16559.399999999998</v>
      </c>
      <c r="G520" s="119">
        <f aca="true" t="shared" si="258" ref="G520:T520">G521+G525</f>
        <v>17835.499999999996</v>
      </c>
      <c r="H520" s="26">
        <f t="shared" si="258"/>
        <v>0</v>
      </c>
      <c r="I520" s="26">
        <f t="shared" si="258"/>
        <v>0</v>
      </c>
      <c r="J520" s="26">
        <f t="shared" si="258"/>
        <v>1116.1</v>
      </c>
      <c r="K520" s="26">
        <f t="shared" si="258"/>
        <v>0</v>
      </c>
      <c r="L520" s="26">
        <f t="shared" si="258"/>
        <v>0</v>
      </c>
      <c r="M520" s="158">
        <f t="shared" si="258"/>
        <v>0</v>
      </c>
      <c r="N520" s="26">
        <f t="shared" si="258"/>
        <v>0</v>
      </c>
      <c r="O520" s="189">
        <f t="shared" si="258"/>
        <v>0</v>
      </c>
      <c r="P520" s="26">
        <f t="shared" si="258"/>
        <v>0</v>
      </c>
      <c r="Q520" s="26">
        <f t="shared" si="258"/>
        <v>160</v>
      </c>
      <c r="R520" s="26">
        <f>R521+R525</f>
        <v>0</v>
      </c>
      <c r="S520" s="26">
        <f>S521+S525</f>
        <v>0</v>
      </c>
      <c r="T520" s="26">
        <f t="shared" si="258"/>
        <v>0</v>
      </c>
    </row>
    <row r="521" spans="1:20" s="25" customFormat="1" ht="51" hidden="1">
      <c r="A521" s="17"/>
      <c r="B521" s="17"/>
      <c r="C521" s="63" t="s">
        <v>192</v>
      </c>
      <c r="D521" s="11"/>
      <c r="E521" s="60" t="s">
        <v>113</v>
      </c>
      <c r="F521" s="94">
        <f>F522</f>
        <v>0</v>
      </c>
      <c r="G521" s="94">
        <f aca="true" t="shared" si="259" ref="G521:T521">G522</f>
        <v>0</v>
      </c>
      <c r="H521" s="71">
        <f t="shared" si="259"/>
        <v>0</v>
      </c>
      <c r="I521" s="71">
        <f t="shared" si="259"/>
        <v>0</v>
      </c>
      <c r="J521" s="71">
        <f t="shared" si="259"/>
        <v>0</v>
      </c>
      <c r="K521" s="71">
        <f t="shared" si="259"/>
        <v>0</v>
      </c>
      <c r="L521" s="71">
        <f t="shared" si="259"/>
        <v>0</v>
      </c>
      <c r="M521" s="156">
        <f t="shared" si="259"/>
        <v>0</v>
      </c>
      <c r="N521" s="71">
        <f t="shared" si="259"/>
        <v>0</v>
      </c>
      <c r="O521" s="190">
        <f t="shared" si="259"/>
        <v>0</v>
      </c>
      <c r="P521" s="71">
        <f t="shared" si="259"/>
        <v>0</v>
      </c>
      <c r="Q521" s="71">
        <f t="shared" si="259"/>
        <v>0</v>
      </c>
      <c r="R521" s="71">
        <f t="shared" si="259"/>
        <v>0</v>
      </c>
      <c r="S521" s="71">
        <f t="shared" si="259"/>
        <v>0</v>
      </c>
      <c r="T521" s="71">
        <f t="shared" si="259"/>
        <v>0</v>
      </c>
    </row>
    <row r="522" spans="1:20" s="25" customFormat="1" ht="51" hidden="1">
      <c r="A522" s="17"/>
      <c r="B522" s="17"/>
      <c r="C522" s="82" t="s">
        <v>193</v>
      </c>
      <c r="D522" s="41"/>
      <c r="E522" s="61" t="s">
        <v>195</v>
      </c>
      <c r="F522" s="93">
        <f>F523</f>
        <v>0</v>
      </c>
      <c r="G522" s="93">
        <f aca="true" t="shared" si="260" ref="G522:T523">G523</f>
        <v>0</v>
      </c>
      <c r="H522" s="64">
        <f t="shared" si="260"/>
        <v>0</v>
      </c>
      <c r="I522" s="64">
        <f t="shared" si="260"/>
        <v>0</v>
      </c>
      <c r="J522" s="64">
        <f t="shared" si="260"/>
        <v>0</v>
      </c>
      <c r="K522" s="64">
        <f t="shared" si="260"/>
        <v>0</v>
      </c>
      <c r="L522" s="64">
        <f t="shared" si="260"/>
        <v>0</v>
      </c>
      <c r="M522" s="78">
        <f t="shared" si="260"/>
        <v>0</v>
      </c>
      <c r="N522" s="64">
        <f t="shared" si="260"/>
        <v>0</v>
      </c>
      <c r="O522" s="191">
        <f t="shared" si="260"/>
        <v>0</v>
      </c>
      <c r="P522" s="64">
        <f t="shared" si="260"/>
        <v>0</v>
      </c>
      <c r="Q522" s="64">
        <f t="shared" si="260"/>
        <v>0</v>
      </c>
      <c r="R522" s="64">
        <f t="shared" si="260"/>
        <v>0</v>
      </c>
      <c r="S522" s="64">
        <f t="shared" si="260"/>
        <v>0</v>
      </c>
      <c r="T522" s="64">
        <f t="shared" si="260"/>
        <v>0</v>
      </c>
    </row>
    <row r="523" spans="1:20" s="25" customFormat="1" ht="25.5" hidden="1">
      <c r="A523" s="17"/>
      <c r="B523" s="17"/>
      <c r="C523" s="66" t="s">
        <v>194</v>
      </c>
      <c r="D523" s="41"/>
      <c r="E523" s="57" t="s">
        <v>196</v>
      </c>
      <c r="F523" s="93">
        <f>F524</f>
        <v>0</v>
      </c>
      <c r="G523" s="93">
        <f t="shared" si="260"/>
        <v>0</v>
      </c>
      <c r="H523" s="64">
        <f t="shared" si="260"/>
        <v>0</v>
      </c>
      <c r="I523" s="64">
        <f t="shared" si="260"/>
        <v>0</v>
      </c>
      <c r="J523" s="64">
        <f t="shared" si="260"/>
        <v>0</v>
      </c>
      <c r="K523" s="64">
        <f t="shared" si="260"/>
        <v>0</v>
      </c>
      <c r="L523" s="64">
        <f t="shared" si="260"/>
        <v>0</v>
      </c>
      <c r="M523" s="78">
        <f t="shared" si="260"/>
        <v>0</v>
      </c>
      <c r="N523" s="64">
        <f t="shared" si="260"/>
        <v>0</v>
      </c>
      <c r="O523" s="191">
        <f t="shared" si="260"/>
        <v>0</v>
      </c>
      <c r="P523" s="64">
        <f t="shared" si="260"/>
        <v>0</v>
      </c>
      <c r="Q523" s="64">
        <f t="shared" si="260"/>
        <v>0</v>
      </c>
      <c r="R523" s="64">
        <f t="shared" si="260"/>
        <v>0</v>
      </c>
      <c r="S523" s="64">
        <f t="shared" si="260"/>
        <v>0</v>
      </c>
      <c r="T523" s="64">
        <f t="shared" si="260"/>
        <v>0</v>
      </c>
    </row>
    <row r="524" spans="1:20" s="25" customFormat="1" ht="25.5" hidden="1">
      <c r="A524" s="17"/>
      <c r="B524" s="17"/>
      <c r="C524" s="66"/>
      <c r="D524" s="41" t="s">
        <v>11</v>
      </c>
      <c r="E524" s="67" t="s">
        <v>12</v>
      </c>
      <c r="F524" s="93"/>
      <c r="G524" s="93">
        <f>F524+SUM(H524:T524)</f>
        <v>0</v>
      </c>
      <c r="H524" s="64"/>
      <c r="I524" s="64"/>
      <c r="J524" s="65"/>
      <c r="K524" s="65"/>
      <c r="L524" s="64"/>
      <c r="M524" s="78"/>
      <c r="N524" s="64"/>
      <c r="O524" s="191"/>
      <c r="P524" s="64"/>
      <c r="Q524" s="64"/>
      <c r="R524" s="64"/>
      <c r="S524" s="64"/>
      <c r="T524" s="64">
        <f>T525</f>
        <v>0</v>
      </c>
    </row>
    <row r="525" spans="1:20" s="25" customFormat="1" ht="68.25" customHeight="1" hidden="1">
      <c r="A525" s="17"/>
      <c r="B525" s="17"/>
      <c r="C525" s="63" t="s">
        <v>273</v>
      </c>
      <c r="D525" s="11"/>
      <c r="E525" s="60" t="s">
        <v>123</v>
      </c>
      <c r="F525" s="95">
        <f>F526+F530</f>
        <v>16559.399999999998</v>
      </c>
      <c r="G525" s="95">
        <f aca="true" t="shared" si="261" ref="G525:T525">G526+G530</f>
        <v>17835.499999999996</v>
      </c>
      <c r="H525" s="73">
        <f t="shared" si="261"/>
        <v>0</v>
      </c>
      <c r="I525" s="73">
        <f t="shared" si="261"/>
        <v>0</v>
      </c>
      <c r="J525" s="73">
        <f t="shared" si="261"/>
        <v>1116.1</v>
      </c>
      <c r="K525" s="73">
        <f t="shared" si="261"/>
        <v>0</v>
      </c>
      <c r="L525" s="73">
        <f t="shared" si="261"/>
        <v>0</v>
      </c>
      <c r="M525" s="77">
        <f t="shared" si="261"/>
        <v>0</v>
      </c>
      <c r="N525" s="73">
        <f t="shared" si="261"/>
        <v>0</v>
      </c>
      <c r="O525" s="50">
        <f t="shared" si="261"/>
        <v>0</v>
      </c>
      <c r="P525" s="73">
        <f t="shared" si="261"/>
        <v>0</v>
      </c>
      <c r="Q525" s="73">
        <f t="shared" si="261"/>
        <v>160</v>
      </c>
      <c r="R525" s="73">
        <f>R526+R530</f>
        <v>0</v>
      </c>
      <c r="S525" s="73">
        <f>S526+S530</f>
        <v>0</v>
      </c>
      <c r="T525" s="73">
        <f t="shared" si="261"/>
        <v>0</v>
      </c>
    </row>
    <row r="526" spans="1:20" s="25" customFormat="1" ht="25.5" hidden="1">
      <c r="A526" s="17"/>
      <c r="B526" s="17"/>
      <c r="C526" s="82" t="s">
        <v>293</v>
      </c>
      <c r="D526" s="99"/>
      <c r="E526" s="61" t="s">
        <v>125</v>
      </c>
      <c r="F526" s="79">
        <f>F527</f>
        <v>16151.599999999999</v>
      </c>
      <c r="G526" s="79">
        <f aca="true" t="shared" si="262" ref="G526:T528">G527</f>
        <v>17267.699999999997</v>
      </c>
      <c r="H526" s="68">
        <f t="shared" si="262"/>
        <v>0</v>
      </c>
      <c r="I526" s="68">
        <f t="shared" si="262"/>
        <v>0</v>
      </c>
      <c r="J526" s="68">
        <f t="shared" si="262"/>
        <v>1116.1</v>
      </c>
      <c r="K526" s="68">
        <f t="shared" si="262"/>
        <v>0</v>
      </c>
      <c r="L526" s="68">
        <f t="shared" si="262"/>
        <v>0</v>
      </c>
      <c r="M526" s="70">
        <f t="shared" si="262"/>
        <v>0</v>
      </c>
      <c r="N526" s="68">
        <f t="shared" si="262"/>
        <v>0</v>
      </c>
      <c r="O526" s="51">
        <f t="shared" si="262"/>
        <v>0</v>
      </c>
      <c r="P526" s="68">
        <f t="shared" si="262"/>
        <v>0</v>
      </c>
      <c r="Q526" s="68">
        <f t="shared" si="262"/>
        <v>0</v>
      </c>
      <c r="R526" s="68">
        <f t="shared" si="262"/>
        <v>0</v>
      </c>
      <c r="S526" s="68">
        <f t="shared" si="262"/>
        <v>0</v>
      </c>
      <c r="T526" s="68">
        <f t="shared" si="262"/>
        <v>0</v>
      </c>
    </row>
    <row r="527" spans="1:20" s="25" customFormat="1" ht="38.25" hidden="1">
      <c r="A527" s="17"/>
      <c r="B527" s="17"/>
      <c r="C527" s="66" t="s">
        <v>294</v>
      </c>
      <c r="D527" s="41"/>
      <c r="E527" s="57" t="s">
        <v>296</v>
      </c>
      <c r="F527" s="79">
        <f>F528</f>
        <v>16151.599999999999</v>
      </c>
      <c r="G527" s="79">
        <f t="shared" si="262"/>
        <v>17267.699999999997</v>
      </c>
      <c r="H527" s="68">
        <f t="shared" si="262"/>
        <v>0</v>
      </c>
      <c r="I527" s="68">
        <f t="shared" si="262"/>
        <v>0</v>
      </c>
      <c r="J527" s="68">
        <f t="shared" si="262"/>
        <v>1116.1</v>
      </c>
      <c r="K527" s="68">
        <f t="shared" si="262"/>
        <v>0</v>
      </c>
      <c r="L527" s="68">
        <f t="shared" si="262"/>
        <v>0</v>
      </c>
      <c r="M527" s="70">
        <f t="shared" si="262"/>
        <v>0</v>
      </c>
      <c r="N527" s="68">
        <f t="shared" si="262"/>
        <v>0</v>
      </c>
      <c r="O527" s="51">
        <f t="shared" si="262"/>
        <v>0</v>
      </c>
      <c r="P527" s="68">
        <f t="shared" si="262"/>
        <v>0</v>
      </c>
      <c r="Q527" s="68">
        <f t="shared" si="262"/>
        <v>0</v>
      </c>
      <c r="R527" s="68">
        <f t="shared" si="262"/>
        <v>0</v>
      </c>
      <c r="S527" s="68">
        <f t="shared" si="262"/>
        <v>0</v>
      </c>
      <c r="T527" s="68">
        <f t="shared" si="262"/>
        <v>0</v>
      </c>
    </row>
    <row r="528" spans="1:21" s="25" customFormat="1" ht="25.5" hidden="1">
      <c r="A528" s="17"/>
      <c r="B528" s="17"/>
      <c r="C528" s="66" t="s">
        <v>295</v>
      </c>
      <c r="D528" s="41"/>
      <c r="E528" s="57" t="s">
        <v>278</v>
      </c>
      <c r="F528" s="79">
        <f>F529</f>
        <v>16151.599999999999</v>
      </c>
      <c r="G528" s="79">
        <f t="shared" si="262"/>
        <v>17267.699999999997</v>
      </c>
      <c r="H528" s="68">
        <f t="shared" si="262"/>
        <v>0</v>
      </c>
      <c r="I528" s="68">
        <f t="shared" si="262"/>
        <v>0</v>
      </c>
      <c r="J528" s="68">
        <f t="shared" si="262"/>
        <v>1116.1</v>
      </c>
      <c r="K528" s="68">
        <f t="shared" si="262"/>
        <v>0</v>
      </c>
      <c r="L528" s="68">
        <f t="shared" si="262"/>
        <v>0</v>
      </c>
      <c r="M528" s="70">
        <f t="shared" si="262"/>
        <v>0</v>
      </c>
      <c r="N528" s="68">
        <f t="shared" si="262"/>
        <v>0</v>
      </c>
      <c r="O528" s="51">
        <f t="shared" si="262"/>
        <v>0</v>
      </c>
      <c r="P528" s="68">
        <f t="shared" si="262"/>
        <v>0</v>
      </c>
      <c r="Q528" s="68">
        <f t="shared" si="262"/>
        <v>0</v>
      </c>
      <c r="R528" s="68">
        <f t="shared" si="262"/>
        <v>0</v>
      </c>
      <c r="S528" s="68">
        <f t="shared" si="262"/>
        <v>0</v>
      </c>
      <c r="T528" s="68">
        <f t="shared" si="262"/>
        <v>0</v>
      </c>
      <c r="U528" s="24"/>
    </row>
    <row r="529" spans="1:20" s="25" customFormat="1" ht="25.5" hidden="1">
      <c r="A529" s="17"/>
      <c r="B529" s="17"/>
      <c r="C529" s="66"/>
      <c r="D529" s="41" t="s">
        <v>11</v>
      </c>
      <c r="E529" s="67" t="s">
        <v>12</v>
      </c>
      <c r="F529" s="79">
        <f>4001.8+10044.8+2105</f>
        <v>16151.599999999999</v>
      </c>
      <c r="G529" s="93">
        <f>F529+SUM(H529:T529)</f>
        <v>17267.699999999997</v>
      </c>
      <c r="H529" s="68"/>
      <c r="I529" s="68"/>
      <c r="J529" s="69">
        <v>1116.1</v>
      </c>
      <c r="K529" s="69"/>
      <c r="L529" s="68"/>
      <c r="M529" s="70"/>
      <c r="N529" s="68"/>
      <c r="O529" s="51"/>
      <c r="P529" s="68"/>
      <c r="Q529" s="68"/>
      <c r="R529" s="68"/>
      <c r="S529" s="68"/>
      <c r="T529" s="68"/>
    </row>
    <row r="530" spans="1:21" s="34" customFormat="1" ht="25.5" hidden="1">
      <c r="A530" s="17"/>
      <c r="B530" s="17"/>
      <c r="C530" s="82" t="s">
        <v>311</v>
      </c>
      <c r="D530" s="41"/>
      <c r="E530" s="61" t="s">
        <v>127</v>
      </c>
      <c r="F530" s="79">
        <f>F531</f>
        <v>407.8</v>
      </c>
      <c r="G530" s="79">
        <f aca="true" t="shared" si="263" ref="G530:T532">G531</f>
        <v>567.8</v>
      </c>
      <c r="H530" s="68">
        <f aca="true" t="shared" si="264" ref="H530:T530">H531</f>
        <v>0</v>
      </c>
      <c r="I530" s="68">
        <f t="shared" si="264"/>
        <v>0</v>
      </c>
      <c r="J530" s="68">
        <f t="shared" si="264"/>
        <v>0</v>
      </c>
      <c r="K530" s="68">
        <f t="shared" si="264"/>
        <v>0</v>
      </c>
      <c r="L530" s="68">
        <f t="shared" si="264"/>
        <v>0</v>
      </c>
      <c r="M530" s="70">
        <f t="shared" si="264"/>
        <v>0</v>
      </c>
      <c r="N530" s="68">
        <f t="shared" si="264"/>
        <v>0</v>
      </c>
      <c r="O530" s="51">
        <f t="shared" si="264"/>
        <v>0</v>
      </c>
      <c r="P530" s="68">
        <f t="shared" si="264"/>
        <v>0</v>
      </c>
      <c r="Q530" s="68">
        <f t="shared" si="264"/>
        <v>160</v>
      </c>
      <c r="R530" s="68">
        <f t="shared" si="264"/>
        <v>0</v>
      </c>
      <c r="S530" s="68">
        <f t="shared" si="264"/>
        <v>0</v>
      </c>
      <c r="T530" s="68">
        <f t="shared" si="264"/>
        <v>0</v>
      </c>
      <c r="U530" s="25"/>
    </row>
    <row r="531" spans="1:21" s="34" customFormat="1" ht="25.5" hidden="1">
      <c r="A531" s="17"/>
      <c r="B531" s="17"/>
      <c r="C531" s="66" t="s">
        <v>316</v>
      </c>
      <c r="D531" s="41"/>
      <c r="E531" s="57" t="s">
        <v>318</v>
      </c>
      <c r="F531" s="79">
        <f>F532</f>
        <v>407.8</v>
      </c>
      <c r="G531" s="79">
        <f t="shared" si="263"/>
        <v>567.8</v>
      </c>
      <c r="H531" s="68">
        <f t="shared" si="263"/>
        <v>0</v>
      </c>
      <c r="I531" s="68">
        <f t="shared" si="263"/>
        <v>0</v>
      </c>
      <c r="J531" s="68">
        <f t="shared" si="263"/>
        <v>0</v>
      </c>
      <c r="K531" s="68">
        <f t="shared" si="263"/>
        <v>0</v>
      </c>
      <c r="L531" s="68">
        <f t="shared" si="263"/>
        <v>0</v>
      </c>
      <c r="M531" s="70">
        <f t="shared" si="263"/>
        <v>0</v>
      </c>
      <c r="N531" s="68">
        <f t="shared" si="263"/>
        <v>0</v>
      </c>
      <c r="O531" s="51">
        <f t="shared" si="263"/>
        <v>0</v>
      </c>
      <c r="P531" s="68">
        <f t="shared" si="263"/>
        <v>0</v>
      </c>
      <c r="Q531" s="68">
        <f t="shared" si="263"/>
        <v>160</v>
      </c>
      <c r="R531" s="68">
        <f t="shared" si="263"/>
        <v>0</v>
      </c>
      <c r="S531" s="68">
        <f t="shared" si="263"/>
        <v>0</v>
      </c>
      <c r="T531" s="68">
        <f t="shared" si="263"/>
        <v>0</v>
      </c>
      <c r="U531" s="25"/>
    </row>
    <row r="532" spans="1:21" s="34" customFormat="1" ht="51" hidden="1">
      <c r="A532" s="17"/>
      <c r="B532" s="17"/>
      <c r="C532" s="66" t="s">
        <v>317</v>
      </c>
      <c r="D532" s="41"/>
      <c r="E532" s="57" t="s">
        <v>315</v>
      </c>
      <c r="F532" s="79">
        <f>F533</f>
        <v>407.8</v>
      </c>
      <c r="G532" s="79">
        <f t="shared" si="263"/>
        <v>567.8</v>
      </c>
      <c r="H532" s="68">
        <f t="shared" si="263"/>
        <v>0</v>
      </c>
      <c r="I532" s="68">
        <f t="shared" si="263"/>
        <v>0</v>
      </c>
      <c r="J532" s="68">
        <f t="shared" si="263"/>
        <v>0</v>
      </c>
      <c r="K532" s="68">
        <f t="shared" si="263"/>
        <v>0</v>
      </c>
      <c r="L532" s="68">
        <f t="shared" si="263"/>
        <v>0</v>
      </c>
      <c r="M532" s="70">
        <f t="shared" si="263"/>
        <v>0</v>
      </c>
      <c r="N532" s="68">
        <f t="shared" si="263"/>
        <v>0</v>
      </c>
      <c r="O532" s="51">
        <f t="shared" si="263"/>
        <v>0</v>
      </c>
      <c r="P532" s="68">
        <f t="shared" si="263"/>
        <v>0</v>
      </c>
      <c r="Q532" s="68">
        <f t="shared" si="263"/>
        <v>160</v>
      </c>
      <c r="R532" s="68">
        <f t="shared" si="263"/>
        <v>0</v>
      </c>
      <c r="S532" s="68">
        <f t="shared" si="263"/>
        <v>0</v>
      </c>
      <c r="T532" s="68">
        <f t="shared" si="263"/>
        <v>0</v>
      </c>
      <c r="U532" s="25"/>
    </row>
    <row r="533" spans="1:20" s="25" customFormat="1" ht="25.5" hidden="1">
      <c r="A533" s="17"/>
      <c r="B533" s="5"/>
      <c r="C533" s="66"/>
      <c r="D533" s="41" t="s">
        <v>11</v>
      </c>
      <c r="E533" s="67" t="s">
        <v>12</v>
      </c>
      <c r="F533" s="79">
        <v>407.8</v>
      </c>
      <c r="G533" s="93">
        <f>F533+SUM(H533:T533)</f>
        <v>567.8</v>
      </c>
      <c r="H533" s="68"/>
      <c r="I533" s="68"/>
      <c r="J533" s="69"/>
      <c r="K533" s="69"/>
      <c r="L533" s="68"/>
      <c r="M533" s="70"/>
      <c r="N533" s="68"/>
      <c r="O533" s="51"/>
      <c r="P533" s="68"/>
      <c r="Q533" s="68">
        <v>160</v>
      </c>
      <c r="R533" s="68"/>
      <c r="S533" s="68"/>
      <c r="T533" s="68"/>
    </row>
    <row r="534" spans="1:21" s="24" customFormat="1" ht="12" hidden="1">
      <c r="A534" s="5"/>
      <c r="B534" s="5" t="s">
        <v>0</v>
      </c>
      <c r="C534" s="16"/>
      <c r="D534" s="5"/>
      <c r="E534" s="20" t="s">
        <v>1</v>
      </c>
      <c r="F534" s="119">
        <f>F535</f>
        <v>809.5</v>
      </c>
      <c r="G534" s="119">
        <f>G535</f>
        <v>809.5</v>
      </c>
      <c r="H534" s="26">
        <f aca="true" t="shared" si="265" ref="G534:T535">H535</f>
        <v>0</v>
      </c>
      <c r="I534" s="26">
        <f t="shared" si="265"/>
        <v>0</v>
      </c>
      <c r="J534" s="26">
        <f t="shared" si="265"/>
        <v>0</v>
      </c>
      <c r="K534" s="26">
        <f t="shared" si="265"/>
        <v>0</v>
      </c>
      <c r="L534" s="26">
        <f t="shared" si="265"/>
        <v>0</v>
      </c>
      <c r="M534" s="158">
        <f t="shared" si="265"/>
        <v>0</v>
      </c>
      <c r="N534" s="26">
        <f t="shared" si="265"/>
        <v>0</v>
      </c>
      <c r="O534" s="189">
        <f t="shared" si="265"/>
        <v>0</v>
      </c>
      <c r="P534" s="26">
        <f t="shared" si="265"/>
        <v>0</v>
      </c>
      <c r="Q534" s="26">
        <f t="shared" si="265"/>
        <v>0</v>
      </c>
      <c r="R534" s="26">
        <f t="shared" si="265"/>
        <v>0</v>
      </c>
      <c r="S534" s="26">
        <f t="shared" si="265"/>
        <v>0</v>
      </c>
      <c r="T534" s="26">
        <f t="shared" si="265"/>
        <v>0</v>
      </c>
      <c r="U534" s="25"/>
    </row>
    <row r="535" spans="1:20" s="25" customFormat="1" ht="69.75" customHeight="1" hidden="1">
      <c r="A535" s="17"/>
      <c r="B535" s="17"/>
      <c r="C535" s="63" t="s">
        <v>273</v>
      </c>
      <c r="D535" s="11"/>
      <c r="E535" s="60" t="s">
        <v>123</v>
      </c>
      <c r="F535" s="95">
        <f>F536</f>
        <v>809.5</v>
      </c>
      <c r="G535" s="95">
        <f t="shared" si="265"/>
        <v>809.5</v>
      </c>
      <c r="H535" s="73">
        <f t="shared" si="265"/>
        <v>0</v>
      </c>
      <c r="I535" s="73">
        <f t="shared" si="265"/>
        <v>0</v>
      </c>
      <c r="J535" s="73">
        <f t="shared" si="265"/>
        <v>0</v>
      </c>
      <c r="K535" s="73">
        <f t="shared" si="265"/>
        <v>0</v>
      </c>
      <c r="L535" s="73">
        <f t="shared" si="265"/>
        <v>0</v>
      </c>
      <c r="M535" s="77">
        <f t="shared" si="265"/>
        <v>0</v>
      </c>
      <c r="N535" s="73">
        <f t="shared" si="265"/>
        <v>0</v>
      </c>
      <c r="O535" s="50">
        <f t="shared" si="265"/>
        <v>0</v>
      </c>
      <c r="P535" s="73">
        <f t="shared" si="265"/>
        <v>0</v>
      </c>
      <c r="Q535" s="73">
        <f t="shared" si="265"/>
        <v>0</v>
      </c>
      <c r="R535" s="73">
        <f t="shared" si="265"/>
        <v>0</v>
      </c>
      <c r="S535" s="73">
        <f t="shared" si="265"/>
        <v>0</v>
      </c>
      <c r="T535" s="73">
        <f t="shared" si="265"/>
        <v>0</v>
      </c>
    </row>
    <row r="536" spans="1:20" s="25" customFormat="1" ht="25.5" hidden="1">
      <c r="A536" s="17"/>
      <c r="B536" s="17"/>
      <c r="C536" s="82" t="s">
        <v>293</v>
      </c>
      <c r="D536" s="99"/>
      <c r="E536" s="61" t="s">
        <v>125</v>
      </c>
      <c r="F536" s="79">
        <f>F537</f>
        <v>809.5</v>
      </c>
      <c r="G536" s="79">
        <f aca="true" t="shared" si="266" ref="G536:T536">G538</f>
        <v>809.5</v>
      </c>
      <c r="H536" s="68">
        <f t="shared" si="266"/>
        <v>0</v>
      </c>
      <c r="I536" s="68">
        <f t="shared" si="266"/>
        <v>0</v>
      </c>
      <c r="J536" s="68">
        <f t="shared" si="266"/>
        <v>0</v>
      </c>
      <c r="K536" s="68">
        <f t="shared" si="266"/>
        <v>0</v>
      </c>
      <c r="L536" s="68">
        <f t="shared" si="266"/>
        <v>0</v>
      </c>
      <c r="M536" s="70">
        <f t="shared" si="266"/>
        <v>0</v>
      </c>
      <c r="N536" s="68">
        <f t="shared" si="266"/>
        <v>0</v>
      </c>
      <c r="O536" s="51">
        <f t="shared" si="266"/>
        <v>0</v>
      </c>
      <c r="P536" s="68">
        <f t="shared" si="266"/>
        <v>0</v>
      </c>
      <c r="Q536" s="68">
        <f t="shared" si="266"/>
        <v>0</v>
      </c>
      <c r="R536" s="68">
        <f>R538</f>
        <v>0</v>
      </c>
      <c r="S536" s="68">
        <f>S538</f>
        <v>0</v>
      </c>
      <c r="T536" s="68">
        <f t="shared" si="266"/>
        <v>0</v>
      </c>
    </row>
    <row r="537" spans="1:20" s="25" customFormat="1" ht="57.75" customHeight="1" hidden="1">
      <c r="A537" s="17"/>
      <c r="B537" s="17"/>
      <c r="C537" s="66" t="s">
        <v>297</v>
      </c>
      <c r="D537" s="41"/>
      <c r="E537" s="57" t="s">
        <v>302</v>
      </c>
      <c r="F537" s="79">
        <f>F538</f>
        <v>809.5</v>
      </c>
      <c r="G537" s="79">
        <f aca="true" t="shared" si="267" ref="G537:T538">G538</f>
        <v>809.5</v>
      </c>
      <c r="H537" s="68">
        <f t="shared" si="267"/>
        <v>0</v>
      </c>
      <c r="I537" s="68">
        <f t="shared" si="267"/>
        <v>0</v>
      </c>
      <c r="J537" s="68">
        <f t="shared" si="267"/>
        <v>0</v>
      </c>
      <c r="K537" s="68">
        <f t="shared" si="267"/>
        <v>0</v>
      </c>
      <c r="L537" s="68">
        <f t="shared" si="267"/>
        <v>0</v>
      </c>
      <c r="M537" s="70">
        <f t="shared" si="267"/>
        <v>0</v>
      </c>
      <c r="N537" s="68">
        <f t="shared" si="267"/>
        <v>0</v>
      </c>
      <c r="O537" s="51">
        <f t="shared" si="267"/>
        <v>0</v>
      </c>
      <c r="P537" s="68">
        <f t="shared" si="267"/>
        <v>0</v>
      </c>
      <c r="Q537" s="68">
        <f t="shared" si="267"/>
        <v>0</v>
      </c>
      <c r="R537" s="68">
        <f t="shared" si="267"/>
        <v>0</v>
      </c>
      <c r="S537" s="68">
        <f t="shared" si="267"/>
        <v>0</v>
      </c>
      <c r="T537" s="68">
        <f t="shared" si="267"/>
        <v>0</v>
      </c>
    </row>
    <row r="538" spans="1:20" s="25" customFormat="1" ht="23.25" customHeight="1" hidden="1">
      <c r="A538" s="17"/>
      <c r="B538" s="17"/>
      <c r="C538" s="66" t="s">
        <v>298</v>
      </c>
      <c r="D538" s="41"/>
      <c r="E538" s="57" t="s">
        <v>288</v>
      </c>
      <c r="F538" s="79">
        <f>F539</f>
        <v>809.5</v>
      </c>
      <c r="G538" s="79">
        <f t="shared" si="267"/>
        <v>809.5</v>
      </c>
      <c r="H538" s="68">
        <f t="shared" si="267"/>
        <v>0</v>
      </c>
      <c r="I538" s="68">
        <f t="shared" si="267"/>
        <v>0</v>
      </c>
      <c r="J538" s="68">
        <f t="shared" si="267"/>
        <v>0</v>
      </c>
      <c r="K538" s="68">
        <f t="shared" si="267"/>
        <v>0</v>
      </c>
      <c r="L538" s="68">
        <f t="shared" si="267"/>
        <v>0</v>
      </c>
      <c r="M538" s="70">
        <f t="shared" si="267"/>
        <v>0</v>
      </c>
      <c r="N538" s="68">
        <f t="shared" si="267"/>
        <v>0</v>
      </c>
      <c r="O538" s="51">
        <f t="shared" si="267"/>
        <v>0</v>
      </c>
      <c r="P538" s="68">
        <f t="shared" si="267"/>
        <v>0</v>
      </c>
      <c r="Q538" s="68">
        <f t="shared" si="267"/>
        <v>0</v>
      </c>
      <c r="R538" s="68">
        <f t="shared" si="267"/>
        <v>0</v>
      </c>
      <c r="S538" s="68">
        <f t="shared" si="267"/>
        <v>0</v>
      </c>
      <c r="T538" s="68">
        <f t="shared" si="267"/>
        <v>0</v>
      </c>
    </row>
    <row r="539" spans="1:20" s="25" customFormat="1" ht="27.75" customHeight="1" hidden="1">
      <c r="A539" s="17"/>
      <c r="B539" s="17"/>
      <c r="C539" s="66"/>
      <c r="D539" s="41" t="s">
        <v>3</v>
      </c>
      <c r="E539" s="67" t="s">
        <v>95</v>
      </c>
      <c r="F539" s="79">
        <v>809.5</v>
      </c>
      <c r="G539" s="93">
        <f>F539+SUM(H539:T539)</f>
        <v>809.5</v>
      </c>
      <c r="H539" s="68"/>
      <c r="I539" s="68"/>
      <c r="J539" s="69"/>
      <c r="K539" s="69"/>
      <c r="L539" s="68"/>
      <c r="M539" s="70"/>
      <c r="N539" s="68"/>
      <c r="O539" s="51"/>
      <c r="P539" s="68"/>
      <c r="Q539" s="68"/>
      <c r="R539" s="68"/>
      <c r="S539" s="68"/>
      <c r="T539" s="68"/>
    </row>
    <row r="540" spans="1:20" ht="12">
      <c r="A540" s="27"/>
      <c r="B540" s="27"/>
      <c r="C540" s="27"/>
      <c r="D540" s="27"/>
      <c r="E540" s="28" t="s">
        <v>80</v>
      </c>
      <c r="F540" s="119">
        <f aca="true" t="shared" si="268" ref="F540:T540">F9+F40+F206+F228+F442</f>
        <v>215906.59999999998</v>
      </c>
      <c r="G540" s="121">
        <f t="shared" si="268"/>
        <v>279224.34197</v>
      </c>
      <c r="H540" s="119">
        <f t="shared" si="268"/>
        <v>0</v>
      </c>
      <c r="I540" s="119">
        <f t="shared" si="268"/>
        <v>57330.04049</v>
      </c>
      <c r="J540" s="121">
        <f t="shared" si="268"/>
        <v>1300.2035999999998</v>
      </c>
      <c r="K540" s="119">
        <f t="shared" si="268"/>
        <v>0</v>
      </c>
      <c r="L540" s="119">
        <f t="shared" si="268"/>
        <v>15032.99416</v>
      </c>
      <c r="M540" s="121">
        <f t="shared" si="268"/>
        <v>3194.0032</v>
      </c>
      <c r="N540" s="121">
        <f t="shared" si="268"/>
        <v>-600.1028</v>
      </c>
      <c r="O540" s="185">
        <f t="shared" si="268"/>
        <v>710.40332</v>
      </c>
      <c r="P540" s="128">
        <f t="shared" si="268"/>
        <v>-13714.800000000001</v>
      </c>
      <c r="Q540" s="119">
        <f t="shared" si="268"/>
        <v>65</v>
      </c>
      <c r="R540" s="121">
        <f>R9+R40+R206+R228+R442</f>
        <v>0</v>
      </c>
      <c r="S540" s="121">
        <f>S9+S40+S206+S228+S442</f>
        <v>0</v>
      </c>
      <c r="T540" s="119">
        <f t="shared" si="268"/>
        <v>0</v>
      </c>
    </row>
    <row r="541" spans="5:20" ht="12">
      <c r="E541" s="8"/>
      <c r="F541" s="98"/>
      <c r="G541" s="98"/>
      <c r="H541" s="47"/>
      <c r="I541" s="47"/>
      <c r="J541" s="47"/>
      <c r="K541" s="47"/>
      <c r="L541" s="47"/>
      <c r="M541" s="47"/>
      <c r="N541" s="47"/>
      <c r="O541" s="192"/>
      <c r="P541" s="47"/>
      <c r="Q541" s="29"/>
      <c r="R541" s="47"/>
      <c r="S541" s="47"/>
      <c r="T541" s="29"/>
    </row>
    <row r="542" spans="5:20" ht="12">
      <c r="E542" s="30"/>
      <c r="F542" s="48"/>
      <c r="G542" s="48"/>
      <c r="H542" s="48">
        <f>'П № 7'!G508</f>
        <v>0</v>
      </c>
      <c r="I542" s="48"/>
      <c r="J542" s="48"/>
      <c r="K542" s="48"/>
      <c r="L542" s="48"/>
      <c r="M542" s="48"/>
      <c r="N542" s="48"/>
      <c r="P542" s="48"/>
      <c r="Q542" s="38"/>
      <c r="R542" s="48"/>
      <c r="S542" s="48"/>
      <c r="T542" s="38"/>
    </row>
    <row r="543" ht="12">
      <c r="E543" s="31"/>
    </row>
    <row r="544" ht="12">
      <c r="E544" s="31"/>
    </row>
    <row r="545" spans="17:21" ht="12">
      <c r="Q545" s="40"/>
      <c r="T545" s="40"/>
      <c r="U545" s="7"/>
    </row>
    <row r="546" spans="17:20" ht="12">
      <c r="Q546" s="40"/>
      <c r="T546" s="40"/>
    </row>
    <row r="547" spans="17:20" ht="12">
      <c r="Q547" s="40"/>
      <c r="T547" s="40"/>
    </row>
    <row r="548" spans="17:20" ht="12">
      <c r="Q548" s="40"/>
      <c r="T548" s="40"/>
    </row>
    <row r="549" spans="1:20" ht="12">
      <c r="A549" s="8"/>
      <c r="B549" s="8"/>
      <c r="C549" s="161"/>
      <c r="D549" s="8"/>
      <c r="Q549" s="40"/>
      <c r="T549" s="40"/>
    </row>
    <row r="550" spans="1:20" ht="12">
      <c r="A550" s="8"/>
      <c r="B550" s="8"/>
      <c r="C550" s="161"/>
      <c r="D550" s="8"/>
      <c r="Q550" s="40"/>
      <c r="T550" s="40"/>
    </row>
    <row r="551" spans="1:21" s="7" customFormat="1" ht="12">
      <c r="A551" s="8"/>
      <c r="B551" s="8"/>
      <c r="C551" s="161"/>
      <c r="D551" s="8"/>
      <c r="F551" s="49"/>
      <c r="G551" s="49"/>
      <c r="H551" s="49"/>
      <c r="I551" s="49"/>
      <c r="J551" s="49"/>
      <c r="K551" s="49"/>
      <c r="L551" s="49"/>
      <c r="M551" s="49"/>
      <c r="N551" s="49"/>
      <c r="O551" s="179"/>
      <c r="P551" s="49"/>
      <c r="Q551" s="39"/>
      <c r="R551" s="49"/>
      <c r="S551" s="49"/>
      <c r="T551" s="39"/>
      <c r="U551" s="8"/>
    </row>
  </sheetData>
  <sheetProtection/>
  <autoFilter ref="A8:K543"/>
  <mergeCells count="1">
    <mergeCell ref="A5:S5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 Владимировна</cp:lastModifiedBy>
  <cp:lastPrinted>2017-12-18T10:57:41Z</cp:lastPrinted>
  <dcterms:created xsi:type="dcterms:W3CDTF">2010-10-26T04:55:36Z</dcterms:created>
  <dcterms:modified xsi:type="dcterms:W3CDTF">2017-12-18T11:27:15Z</dcterms:modified>
  <cp:category/>
  <cp:version/>
  <cp:contentType/>
  <cp:contentStatus/>
</cp:coreProperties>
</file>